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Pp7CFce3yST2Ah8F0kR8pB5ZcDvXUQplIo/VTaywpiAH1dY0D45xz4EVwv1GXA2dsSCYvyIO3wNoRtbx+/xkKg==" workbookSaltValue="D2hWaangBTDz6EyXlKAZb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V11" i="16"/>
  <c r="BL12" i="11"/>
  <c r="S13" i="16"/>
  <c r="V12" i="21"/>
  <c r="P13" i="16"/>
  <c r="AM13" i="20"/>
  <c r="C11" i="6"/>
  <c r="H13" i="12"/>
  <c r="T13" i="12"/>
  <c r="BI10" i="11"/>
  <c r="BJ11" i="11"/>
  <c r="BG15" i="11"/>
  <c r="T15" i="16"/>
  <c r="BV17" i="16"/>
  <c r="BV12" i="16"/>
  <c r="BV11" i="16"/>
  <c r="U10" i="17"/>
  <c r="BU16" i="17"/>
  <c r="S12" i="14"/>
  <c r="V12" i="14" s="1"/>
  <c r="S11" i="14"/>
  <c r="V11" i="14" s="1"/>
  <c r="BG12" i="11"/>
  <c r="BH10" i="11"/>
  <c r="AQ10" i="21"/>
  <c r="BJ10" i="11"/>
  <c r="BK16" i="11"/>
  <c r="BH11" i="11"/>
  <c r="BG16" i="11"/>
  <c r="T11" i="11"/>
  <c r="BH16" i="11"/>
  <c r="AQ12" i="21"/>
  <c r="BJ16" i="11"/>
  <c r="BL16" i="11"/>
  <c r="BD15" i="8"/>
  <c r="BD9" i="8"/>
  <c r="BA13" i="8"/>
  <c r="AA10" i="16"/>
  <c r="S15" i="17"/>
  <c r="E13" i="17"/>
  <c r="S16" i="17"/>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O10" i="11"/>
  <c r="J20" i="20"/>
  <c r="AH20" i="20"/>
  <c r="I20" i="20"/>
  <c r="W20" i="20"/>
  <c r="AU20" i="20"/>
  <c r="AV20" i="20"/>
  <c r="P20" i="20"/>
  <c r="W20" i="21"/>
  <c r="R20" i="20"/>
  <c r="M20" i="20"/>
  <c r="T20" i="21"/>
  <c r="AJ20" i="20"/>
  <c r="AO20" i="20"/>
  <c r="Y20" i="20"/>
  <c r="AQ20" i="20"/>
  <c r="BM18" i="16" l="1"/>
  <c r="I19" i="8"/>
  <c r="AV18" i="21"/>
  <c r="AH13" i="16"/>
  <c r="G12" i="12"/>
  <c r="AN12" i="11"/>
  <c r="AB13" i="21"/>
  <c r="Z13" i="17"/>
  <c r="AC10" i="11"/>
  <c r="AA9" i="16"/>
  <c r="L9" i="2"/>
  <c r="U9" i="17"/>
  <c r="U19" i="17" s="1"/>
  <c r="X10" i="21"/>
  <c r="L16" i="2"/>
  <c r="L15" i="2"/>
  <c r="L10" i="2"/>
  <c r="BK10" i="11"/>
  <c r="BH12" i="16"/>
  <c r="BM9" i="11"/>
  <c r="S17" i="17"/>
  <c r="BF15" i="11"/>
  <c r="BM17" i="11"/>
  <c r="Q15" i="17"/>
  <c r="BH10" i="16"/>
  <c r="T12" i="11"/>
  <c r="BI9" i="11"/>
  <c r="Q17" i="17"/>
  <c r="T16" i="11"/>
  <c r="AZ12" i="11"/>
  <c r="BV9" i="16"/>
  <c r="BW10" i="20"/>
  <c r="BW11" i="20"/>
  <c r="BW12" i="20"/>
  <c r="BU10" i="17"/>
  <c r="BU11" i="17"/>
  <c r="BK17" i="11"/>
  <c r="BJ12" i="11"/>
  <c r="S16" i="14"/>
  <c r="V16" i="14" s="1"/>
  <c r="S9" i="17"/>
  <c r="AO9" i="11"/>
  <c r="BF16" i="11"/>
  <c r="BH15" i="16"/>
  <c r="BH9" i="16"/>
  <c r="BJ17" i="11"/>
  <c r="F15" i="16"/>
  <c r="BL15" i="16" s="1"/>
  <c r="BE12" i="21"/>
  <c r="BE9" i="13"/>
  <c r="AL9" i="11"/>
  <c r="E11" i="6"/>
  <c r="R11" i="14"/>
  <c r="BL10" i="11"/>
  <c r="BL15" i="11"/>
  <c r="BF12" i="11"/>
  <c r="P15" i="17"/>
  <c r="S15" i="16"/>
  <c r="X17" i="17"/>
  <c r="AZ11" i="11"/>
  <c r="X15" i="17"/>
  <c r="AZ16" i="11"/>
  <c r="AA16" i="16"/>
  <c r="BU12" i="17"/>
  <c r="BU17" i="17"/>
  <c r="BV10" i="16"/>
  <c r="BU9" i="17"/>
  <c r="BW15" i="20"/>
  <c r="BV15" i="16"/>
  <c r="BW16" i="20"/>
  <c r="BV16" i="16"/>
  <c r="BW17" i="20"/>
  <c r="BW9" i="20"/>
  <c r="BU15" i="17"/>
  <c r="T17" i="16"/>
  <c r="R17" i="20"/>
  <c r="R18" i="20" s="1"/>
  <c r="AP15" i="20"/>
  <c r="R10" i="21"/>
  <c r="R13" i="21" s="1"/>
  <c r="V9" i="11"/>
  <c r="Q10" i="21"/>
  <c r="V11" i="11"/>
  <c r="BK15" i="11"/>
  <c r="S17" i="16"/>
  <c r="BF17" i="11"/>
  <c r="Q17" i="20"/>
  <c r="Q18" i="20" s="1"/>
  <c r="BH15" i="11"/>
  <c r="V15" i="11"/>
  <c r="AP16" i="20"/>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<sst xmlns="http://schemas.openxmlformats.org/spreadsheetml/2006/main" count="2094" uniqueCount="913">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</sst>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e26gcBbn9yYXIwVggd/+FESj2Y1VPSrnVYMF78v4yA6D3lgjsZoYUvgALNkx52LIoXxRx+G2KB6419iWQ4mTA==" saltValue="uwPTpujAZyRLKCjaxyQW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4</v>
      </c>
      <c r="F10" s="230">
        <f>IF(ISNUMBER(Datos!K10),Datos!K10," - ")</f>
        <v>3</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0.16666666666666666</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21.882666666666669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4</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441</v>
      </c>
      <c r="D16" s="229">
        <f>IF(ISNUMBER(IF(D_I="SI",Datos!I16,Datos!I16+Datos!AC16)),IF(D_I="SI",Datos!I16,Datos!I16+Datos!AC16)," - ")</f>
        <v>411</v>
      </c>
      <c r="E16" s="230">
        <f>IF(ISNUMBER(IF(D_I="SI",Datos!J16,Datos!J16+Datos!AD16)),IF(D_I="SI",Datos!J16,Datos!J16+Datos!AD16)," - ")</f>
        <v>527</v>
      </c>
      <c r="F16" s="230">
        <f>IF(ISNUMBER(IF(D_I="SI",Datos!K16,Datos!K16+Datos!AE16)),IF(D_I="SI",Datos!K16,Datos!K16+Datos!AE16)," - ")</f>
        <v>442</v>
      </c>
      <c r="G16" s="1189" t="str">
        <f>IF(Datos!E16&lt;&gt;"",Datos!E16,Datos!D16)</f>
        <v>04</v>
      </c>
      <c r="H16" s="231">
        <f>IF(ISNUMBER(IF(D_I="SI",Datos!L16,Datos!L16+Datos!AF16)),IF(D_I="SI",Datos!L16,Datos!L16+Datos!AF16)," - ")</f>
        <v>526</v>
      </c>
      <c r="I16" s="1199" t="str">
        <f>IF(ISNUMBER(Datos!AS16/Datos!BM16),Datos!AS16/Datos!BM16," - ")</f>
        <v xml:space="preserve"> - </v>
      </c>
      <c r="J16" s="1200">
        <f>IF(ISNUMBER(Datos!BY16/Datos!CN16),Datos!BY16/Datos!CN16," - ")</f>
        <v>0</v>
      </c>
      <c r="K16" s="234">
        <f t="shared" si="3"/>
        <v>0.1927437641723356</v>
      </c>
      <c r="L16" s="1201">
        <f>IF(ISNUMBER(NºAsuntos!I16/NºAsuntos!G16),(NºAsuntos!I16/NºAsuntos!G16)*11," - ")</f>
        <v>13.090497737556561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41</v>
      </c>
      <c r="D17" s="229">
        <f>IF(ISNUMBER(IF(D_I="SI",Datos!I17,Datos!I17+Datos!AC17)),IF(D_I="SI",Datos!I17,Datos!I17+Datos!AC17)," - ")</f>
        <v>41</v>
      </c>
      <c r="E17" s="230">
        <f>IF(ISNUMBER(IF(D_I="SI",Datos!J17,Datos!J17+Datos!AD17)),IF(D_I="SI",Datos!J17,Datos!J17+Datos!AD17)," - ")</f>
        <v>64</v>
      </c>
      <c r="F17" s="230">
        <f>IF(ISNUMBER(IF(D_I="SI",Datos!K17,Datos!K17+Datos!AE17)),IF(D_I="SI",Datos!K17,Datos!K17+Datos!AE17)," - ")</f>
        <v>55</v>
      </c>
      <c r="G17" s="1189" t="str">
        <f>IF(Datos!E17&lt;&gt;"",Datos!E17,Datos!D17)</f>
        <v>37</v>
      </c>
      <c r="H17" s="231">
        <f>IF(ISNUMBER(IF(D_I="SI",Datos!L17,Datos!L17+Datos!AF17)),IF(D_I="SI",Datos!L17,Datos!L17+Datos!AF17)," - ")</f>
        <v>50</v>
      </c>
      <c r="I17" s="1199" t="str">
        <f>IF(ISNUMBER(Datos!AS17/Datos!BM17),Datos!AS17/Datos!BM17," - ")</f>
        <v xml:space="preserve"> - </v>
      </c>
      <c r="J17" s="1200" t="str">
        <f>IF(ISNUMBER((Datos!BY17+Datos!BZ17)/Datos!CN17),(Datos!BY17+Datos!BZ17)/Datos!CN17," - ")</f>
        <v xml:space="preserve"> - </v>
      </c>
      <c r="K17" s="234">
        <f t="shared" si="3"/>
        <v>0.21951219512195122</v>
      </c>
      <c r="L17" s="1201">
        <f>IF(ISNUMBER(NºAsuntos!I17/NºAsuntos!G17),(NºAsuntos!I17/NºAsuntos!G17)*11," - ")</f>
        <v>10</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482</v>
      </c>
      <c r="D18" s="1206">
        <f>SUBTOTAL(9,D15:D17)</f>
        <v>452</v>
      </c>
      <c r="E18" s="1207">
        <f>SUBTOTAL(9,E15:E17)</f>
        <v>591</v>
      </c>
      <c r="F18" s="1207">
        <f>SUBTOTAL(9,F15:F17)</f>
        <v>497</v>
      </c>
      <c r="G18" s="1209" t="str">
        <f ca="1">INDIRECT(CONCATENATE("G",ROW()-1))</f>
        <v>37</v>
      </c>
      <c r="H18" s="1210">
        <f ca="1">SUMIF(G$14:G17,G18,H$14:H17)</f>
        <v>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488</v>
      </c>
      <c r="D19" s="1228">
        <f>SUBTOTAL(9,D9:D18)</f>
        <v>458</v>
      </c>
      <c r="E19" s="1229">
        <f>SUBTOTAL(9,E9:E18)</f>
        <v>595</v>
      </c>
      <c r="F19" s="1229">
        <f>SUBTOTAL(9,F9:F18)</f>
        <v>500</v>
      </c>
      <c r="G19" s="1230"/>
      <c r="H19" s="1231">
        <f ca="1">SUMIF(B9:B18,"TOTAL",H9:H18)</f>
        <v>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xChqGezLSjbSu+GIvKJWT9Wv3B8E+3zV/Eon5pX15cE3YdRGURQrZCjNWYO65bAv4NafmrSPZjn9IY3ZjX+Yw==" saltValue="ZKq8F+qIeQRykc6o8Zbf+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RKWcJ8cUgD3aQ9vtXu7rXvvDglGBErGT8RnBudyv3kp8WNqv75oKjJoOAigDLKvUvCjb6AdCEEm2LqBFzUyjA==" saltValue="+tz0p5C6aFxMcj8PvLCX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4</v>
      </c>
      <c r="K10" s="185">
        <v>3</v>
      </c>
      <c r="L10" s="185">
        <v>7</v>
      </c>
      <c r="M10" s="185">
        <v>3</v>
      </c>
      <c r="N10" s="185">
        <v>0</v>
      </c>
      <c r="O10" s="185">
        <v>0</v>
      </c>
      <c r="P10" s="185">
        <v>0</v>
      </c>
      <c r="Q10" s="185">
        <v>1</v>
      </c>
      <c r="R10" s="185">
        <v>3</v>
      </c>
      <c r="S10" s="185">
        <v>8</v>
      </c>
      <c r="T10" s="185">
        <v>5</v>
      </c>
      <c r="U10" s="185">
        <v>6</v>
      </c>
      <c r="V10" s="185">
        <v>7</v>
      </c>
      <c r="W10" s="185">
        <v>3</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5</v>
      </c>
      <c r="BA10" s="130">
        <f t="shared" si="0"/>
        <v>6</v>
      </c>
      <c r="BB10" s="130">
        <f t="shared" si="0"/>
        <v>7</v>
      </c>
      <c r="BC10" s="126">
        <f t="shared" si="0"/>
        <v>3</v>
      </c>
      <c r="BD10" s="127">
        <f>IF(ISNUMBER(BA10/AZ10),BA10/AZ10," - ")</f>
        <v>1.2</v>
      </c>
      <c r="BE10" s="128">
        <f>IF(ISNUMBER(BB10/BA10),BB10/BA10, " - ")</f>
        <v>1.1666666666666667</v>
      </c>
      <c r="BF10" s="128">
        <f>IF(ISNUMBER(BC10/BA10),BC10/BA10, " - ")</f>
        <v>0.5</v>
      </c>
      <c r="BG10" s="200">
        <f>IF(ISNUMBER((AY10+AZ10)/BA10),(AY10+AZ10)/BA10," - ")</f>
        <v>2.1666666666666665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678</v>
      </c>
      <c r="J12" s="187">
        <v>412</v>
      </c>
      <c r="K12" s="187">
        <v>361</v>
      </c>
      <c r="L12" s="187">
        <v>735</v>
      </c>
      <c r="M12" s="187">
        <v>78</v>
      </c>
      <c r="N12" s="187">
        <v>182</v>
      </c>
      <c r="O12" s="185">
        <v>168</v>
      </c>
      <c r="P12" s="187">
        <v>123</v>
      </c>
      <c r="Q12" s="187">
        <v>94</v>
      </c>
      <c r="R12" s="187">
        <v>1229</v>
      </c>
      <c r="S12" s="187">
        <v>454</v>
      </c>
      <c r="T12" s="187">
        <v>277</v>
      </c>
      <c r="U12" s="187">
        <v>274</v>
      </c>
      <c r="V12" s="187">
        <v>457</v>
      </c>
      <c r="W12" s="187">
        <v>65</v>
      </c>
      <c r="X12" s="193">
        <v>137</v>
      </c>
      <c r="Y12" s="195">
        <v>12</v>
      </c>
      <c r="Z12" s="185">
        <v>12</v>
      </c>
      <c r="AA12" s="185">
        <v>14</v>
      </c>
      <c r="AB12" s="185">
        <v>11</v>
      </c>
      <c r="AC12" s="187">
        <v>0</v>
      </c>
      <c r="AD12" s="187">
        <v>0</v>
      </c>
      <c r="AE12" s="187">
        <v>0</v>
      </c>
      <c r="AF12" s="193">
        <v>0</v>
      </c>
      <c r="AG12" s="206">
        <v>7</v>
      </c>
      <c r="AH12" s="187">
        <v>25</v>
      </c>
      <c r="AI12" s="187">
        <v>22</v>
      </c>
      <c r="AJ12" s="207">
        <v>10</v>
      </c>
      <c r="AK12" s="186">
        <v>0</v>
      </c>
      <c r="AL12" s="187">
        <v>0</v>
      </c>
      <c r="AM12" s="187">
        <v>0</v>
      </c>
      <c r="AN12" s="193">
        <v>0</v>
      </c>
      <c r="AO12" s="263">
        <v>2</v>
      </c>
      <c r="AP12" s="159">
        <v>2</v>
      </c>
      <c r="AQ12" s="159">
        <v>2</v>
      </c>
      <c r="AR12" s="158">
        <v>2</v>
      </c>
      <c r="AS12" s="349" t="s">
        <v>811</v>
      </c>
      <c r="AT12" s="207"/>
      <c r="AU12" s="206"/>
      <c r="AV12" s="207"/>
      <c r="AW12" s="206"/>
      <c r="AX12" s="207"/>
      <c r="AY12" s="127">
        <f t="shared" si="1"/>
        <v>461</v>
      </c>
      <c r="AZ12" s="128">
        <f t="shared" si="1"/>
        <v>302</v>
      </c>
      <c r="BA12" s="128">
        <f t="shared" si="1"/>
        <v>296</v>
      </c>
      <c r="BB12" s="128">
        <f t="shared" si="1"/>
        <v>467</v>
      </c>
      <c r="BC12" s="126">
        <f>IF(ISNUMBER(X12),X12," - ")</f>
        <v>137</v>
      </c>
      <c r="BD12" s="127">
        <f t="shared" si="2"/>
        <v>0.98013245033112584</v>
      </c>
      <c r="BE12" s="128">
        <f t="shared" si="3"/>
        <v>1.5777027027027026</v>
      </c>
      <c r="BF12" s="128">
        <f t="shared" si="4"/>
        <v>0.46283783783783783</v>
      </c>
      <c r="BG12" s="200">
        <f t="shared" si="5"/>
        <v>2.5777027027027026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684</v>
      </c>
      <c r="J13" s="188">
        <f t="shared" si="6"/>
        <v>416</v>
      </c>
      <c r="K13" s="188">
        <f t="shared" si="6"/>
        <v>364</v>
      </c>
      <c r="L13" s="188">
        <f t="shared" si="6"/>
        <v>742</v>
      </c>
      <c r="M13" s="188">
        <f t="shared" si="6"/>
        <v>81</v>
      </c>
      <c r="N13" s="188">
        <f t="shared" si="6"/>
        <v>182</v>
      </c>
      <c r="O13" s="188">
        <f t="shared" si="6"/>
        <v>168</v>
      </c>
      <c r="P13" s="188">
        <f t="shared" si="6"/>
        <v>123</v>
      </c>
      <c r="Q13" s="188">
        <f t="shared" si="6"/>
        <v>95</v>
      </c>
      <c r="R13" s="188">
        <f t="shared" si="6"/>
        <v>1232</v>
      </c>
      <c r="S13" s="188">
        <f t="shared" si="6"/>
        <v>462</v>
      </c>
      <c r="T13" s="188">
        <f t="shared" si="6"/>
        <v>282</v>
      </c>
      <c r="U13" s="188">
        <f t="shared" si="6"/>
        <v>280</v>
      </c>
      <c r="V13" s="188">
        <f t="shared" si="6"/>
        <v>464</v>
      </c>
      <c r="W13" s="188">
        <f t="shared" si="6"/>
        <v>68</v>
      </c>
      <c r="X13" s="188">
        <f t="shared" si="6"/>
        <v>139</v>
      </c>
      <c r="Y13" s="188">
        <f t="shared" si="6"/>
        <v>12</v>
      </c>
      <c r="Z13" s="188">
        <f t="shared" si="6"/>
        <v>12</v>
      </c>
      <c r="AA13" s="188">
        <f t="shared" si="6"/>
        <v>14</v>
      </c>
      <c r="AB13" s="188">
        <f t="shared" si="6"/>
        <v>11</v>
      </c>
      <c r="AC13" s="188">
        <f t="shared" si="6"/>
        <v>0</v>
      </c>
      <c r="AD13" s="188">
        <f t="shared" si="6"/>
        <v>0</v>
      </c>
      <c r="AE13" s="188">
        <f t="shared" si="6"/>
        <v>0</v>
      </c>
      <c r="AF13" s="188">
        <f>SUBTOTAL(9,AF9:AF12)</f>
        <v>0</v>
      </c>
      <c r="AG13" s="188">
        <f t="shared" ref="AG13:AT13" si="7">SUBTOTAL(9,AG8:AG12)</f>
        <v>7</v>
      </c>
      <c r="AH13" s="188">
        <f t="shared" si="7"/>
        <v>25</v>
      </c>
      <c r="AI13" s="188">
        <f t="shared" si="7"/>
        <v>22</v>
      </c>
      <c r="AJ13" s="188">
        <f t="shared" si="7"/>
        <v>10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469</v>
      </c>
      <c r="AZ13" s="188">
        <f>SUBTOTAL(9,AZ8:AZ12)</f>
        <v>307</v>
      </c>
      <c r="BA13" s="188">
        <f>SUBTOTAL(9,BA8:BA12)</f>
        <v>302</v>
      </c>
      <c r="BB13" s="188">
        <f>SUBTOTAL(9,BB8:BB12)</f>
        <v>474</v>
      </c>
      <c r="BC13" s="188">
        <f>SUBTOTAL(9,BC8:BC12)</f>
        <v>140</v>
      </c>
      <c r="BD13" s="209">
        <f>IF(ISNUMBER(BA13/AZ13),BA13/AZ13," - ")</f>
        <v>0.98371335504885993</v>
      </c>
      <c r="BE13" s="210">
        <f>IF(ISNUMBER(BB13/BA13),BB13/BA13, " - ")</f>
        <v>1.5695364238410596</v>
      </c>
      <c r="BF13" s="210">
        <f>IF(ISNUMBER(BC13/BA13),BC13/BA13, " - ")</f>
        <v>0.46357615894039733</v>
      </c>
      <c r="BG13" s="211">
        <f>IF(ISNUMBER((AY13+AZ13)/BA13),(AY13+AZ13)/BA13," - ")</f>
        <v>2.5695364238410594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411</v>
      </c>
      <c r="J16" s="187">
        <v>527</v>
      </c>
      <c r="K16" s="187">
        <v>442</v>
      </c>
      <c r="L16" s="187">
        <v>526</v>
      </c>
      <c r="M16" s="187">
        <v>43</v>
      </c>
      <c r="N16" s="187">
        <v>285</v>
      </c>
      <c r="O16" s="185">
        <v>0</v>
      </c>
      <c r="P16" s="187">
        <v>8</v>
      </c>
      <c r="Q16" s="187">
        <v>6</v>
      </c>
      <c r="R16" s="187">
        <v>42</v>
      </c>
      <c r="S16" s="187">
        <v>277</v>
      </c>
      <c r="T16" s="187">
        <v>421</v>
      </c>
      <c r="U16" s="187">
        <v>372</v>
      </c>
      <c r="V16" s="187">
        <v>326</v>
      </c>
      <c r="W16" s="187">
        <v>38</v>
      </c>
      <c r="X16" s="193">
        <v>225</v>
      </c>
      <c r="Y16" s="206">
        <v>0</v>
      </c>
      <c r="Z16" s="187">
        <v>0</v>
      </c>
      <c r="AA16" s="187">
        <v>0</v>
      </c>
      <c r="AB16" s="187">
        <v>0</v>
      </c>
      <c r="AC16" s="187">
        <v>1</v>
      </c>
      <c r="AD16" s="187">
        <v>11</v>
      </c>
      <c r="AE16" s="187">
        <v>12</v>
      </c>
      <c r="AF16" s="193">
        <v>0</v>
      </c>
      <c r="AG16" s="206">
        <v>0</v>
      </c>
      <c r="AH16" s="187">
        <v>0</v>
      </c>
      <c r="AI16" s="187">
        <v>0</v>
      </c>
      <c r="AJ16" s="207">
        <v>0</v>
      </c>
      <c r="AK16" s="186">
        <v>1</v>
      </c>
      <c r="AL16" s="187">
        <v>2</v>
      </c>
      <c r="AM16" s="187">
        <v>2</v>
      </c>
      <c r="AN16" s="193">
        <v>1</v>
      </c>
      <c r="AO16" s="263">
        <v>2</v>
      </c>
      <c r="AP16" s="159">
        <v>2</v>
      </c>
      <c r="AQ16" s="159">
        <v>2</v>
      </c>
      <c r="AR16" s="159">
        <v>2</v>
      </c>
      <c r="AS16" s="349" t="s">
        <v>491</v>
      </c>
      <c r="AT16" s="207"/>
      <c r="AU16" s="206"/>
      <c r="AV16" s="207"/>
      <c r="AW16" s="206"/>
      <c r="AX16" s="207"/>
      <c r="AY16" s="127">
        <f t="shared" si="9"/>
        <v>277</v>
      </c>
      <c r="AZ16" s="128">
        <f t="shared" si="9"/>
        <v>421</v>
      </c>
      <c r="BA16" s="128">
        <f t="shared" si="9"/>
        <v>372</v>
      </c>
      <c r="BB16" s="128">
        <f t="shared" si="9"/>
        <v>326</v>
      </c>
      <c r="BC16" s="126">
        <f>IF(ISNUMBER(W16),W16," - ")</f>
        <v>38</v>
      </c>
      <c r="BD16" s="127">
        <f t="shared" ref="BD16" si="11">IF(ISNUMBER(BA16/AZ16),BA16/AZ16," - ")</f>
        <v>0.88361045130641325</v>
      </c>
      <c r="BE16" s="128">
        <f t="shared" ref="BE16" si="12">IF(ISNUMBER(BB16/BA16),BB16/BA16, " - ")</f>
        <v>0.87634408602150538</v>
      </c>
      <c r="BF16" s="128">
        <f t="shared" ref="BF16" si="13">IF(ISNUMBER(BC16/BA16),BC16/BA16, " - ")</f>
        <v>0.10215053763440861</v>
      </c>
      <c r="BG16" s="200">
        <f t="shared" si="10"/>
        <v>1.8763440860215055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41</v>
      </c>
      <c r="J17" s="187">
        <v>64</v>
      </c>
      <c r="K17" s="187">
        <v>55</v>
      </c>
      <c r="L17" s="187">
        <v>50</v>
      </c>
      <c r="M17" s="187">
        <v>19</v>
      </c>
      <c r="N17" s="187">
        <v>23</v>
      </c>
      <c r="O17" s="187">
        <v>0</v>
      </c>
      <c r="P17" s="187">
        <v>1</v>
      </c>
      <c r="Q17" s="187">
        <v>0</v>
      </c>
      <c r="R17" s="187">
        <v>2</v>
      </c>
      <c r="S17" s="187">
        <v>14</v>
      </c>
      <c r="T17" s="187">
        <v>53</v>
      </c>
      <c r="U17" s="187">
        <v>54</v>
      </c>
      <c r="V17" s="187">
        <v>13</v>
      </c>
      <c r="W17" s="187">
        <v>14</v>
      </c>
      <c r="X17" s="193">
        <v>26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53</v>
      </c>
      <c r="BA17" s="130">
        <f t="shared" si="14"/>
        <v>54</v>
      </c>
      <c r="BB17" s="130">
        <f t="shared" si="14"/>
        <v>13</v>
      </c>
      <c r="BC17" s="126">
        <f>IF(ISNUMBER(W17),W17," - ")</f>
        <v>14</v>
      </c>
      <c r="BD17" s="127">
        <f>IF(ISNUMBER(BA17/AZ17),BA17/AZ17," - ")</f>
        <v>1.0188679245283019</v>
      </c>
      <c r="BE17" s="128">
        <f>IF(ISNUMBER(BB17/BA17),BB17/BA17, " - ")</f>
        <v>0.24074074074074073</v>
      </c>
      <c r="BF17" s="128">
        <f>IF(ISNUMBER(BC17/BA17),BC17/BA17, " - ")</f>
        <v>0.25925925925925924</v>
      </c>
      <c r="BG17" s="200">
        <f>IF(ISNUMBER((AY17+AZ17)/BA17),(AY17+AZ17)/BA17," - ")</f>
        <v>1.2407407407407407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452</v>
      </c>
      <c r="J18" s="188">
        <f t="shared" si="15"/>
        <v>591</v>
      </c>
      <c r="K18" s="188">
        <f t="shared" si="15"/>
        <v>497</v>
      </c>
      <c r="L18" s="188">
        <f t="shared" si="15"/>
        <v>576</v>
      </c>
      <c r="M18" s="188">
        <f t="shared" si="15"/>
        <v>62</v>
      </c>
      <c r="N18" s="188">
        <f t="shared" si="15"/>
        <v>308</v>
      </c>
      <c r="O18" s="188">
        <f t="shared" si="15"/>
        <v>0</v>
      </c>
      <c r="P18" s="188">
        <f t="shared" si="15"/>
        <v>9</v>
      </c>
      <c r="Q18" s="188">
        <f t="shared" si="15"/>
        <v>6</v>
      </c>
      <c r="R18" s="188">
        <f t="shared" si="15"/>
        <v>44</v>
      </c>
      <c r="S18" s="188">
        <f t="shared" si="15"/>
        <v>291</v>
      </c>
      <c r="T18" s="188">
        <f t="shared" si="15"/>
        <v>474</v>
      </c>
      <c r="U18" s="188">
        <f t="shared" si="15"/>
        <v>426</v>
      </c>
      <c r="V18" s="188">
        <f t="shared" si="15"/>
        <v>339</v>
      </c>
      <c r="W18" s="188">
        <f t="shared" si="15"/>
        <v>52</v>
      </c>
      <c r="X18" s="188">
        <f t="shared" si="15"/>
        <v>251</v>
      </c>
      <c r="Y18" s="188">
        <f t="shared" si="15"/>
        <v>0</v>
      </c>
      <c r="Z18" s="188">
        <f t="shared" si="15"/>
        <v>0</v>
      </c>
      <c r="AA18" s="188">
        <f t="shared" si="15"/>
        <v>0</v>
      </c>
      <c r="AB18" s="188">
        <f t="shared" si="15"/>
        <v>0</v>
      </c>
      <c r="AC18" s="188">
        <f t="shared" si="15"/>
        <v>1</v>
      </c>
      <c r="AD18" s="188">
        <f t="shared" si="15"/>
        <v>11</v>
      </c>
      <c r="AE18" s="188">
        <f t="shared" si="15"/>
        <v>12</v>
      </c>
      <c r="AF18" s="188">
        <f t="shared" si="15"/>
        <v>0</v>
      </c>
      <c r="AG18" s="188">
        <f t="shared" si="15"/>
        <v>0</v>
      </c>
      <c r="AH18" s="188">
        <f t="shared" si="15"/>
        <v>0</v>
      </c>
      <c r="AI18" s="188">
        <f t="shared" si="15"/>
        <v>0</v>
      </c>
      <c r="AJ18" s="188">
        <f t="shared" si="15"/>
        <v>0</v>
      </c>
      <c r="AK18" s="188">
        <f t="shared" si="15"/>
        <v>1</v>
      </c>
      <c r="AL18" s="188">
        <f t="shared" si="15"/>
        <v>2</v>
      </c>
      <c r="AM18" s="188">
        <f t="shared" si="15"/>
        <v>2</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291</v>
      </c>
      <c r="AZ18" s="188">
        <f>SUBTOTAL(9,AZ14:AZ17)</f>
        <v>474</v>
      </c>
      <c r="BA18" s="188">
        <f>SUBTOTAL(9,BA14:BA17)</f>
        <v>426</v>
      </c>
      <c r="BB18" s="188">
        <f>SUBTOTAL(9,BB14:BB17)</f>
        <v>339</v>
      </c>
      <c r="BC18" s="188">
        <f>SUBTOTAL(9,BC14:BC17)</f>
        <v>52</v>
      </c>
      <c r="BD18" s="209">
        <f>IF(ISNUMBER(BA18/AZ18),BA18/AZ18," - ")</f>
        <v>0.89873417721518989</v>
      </c>
      <c r="BE18" s="210">
        <f>IF(ISNUMBER(BB18/BA18),BB18/BA18, " - ")</f>
        <v>0.79577464788732399</v>
      </c>
      <c r="BF18" s="210">
        <f>IF(ISNUMBER(BC18/BA18),BC18/BA18, " - ")</f>
        <v>0.12206572769953052</v>
      </c>
      <c r="BG18" s="211">
        <f>IF(ISNUMBER((AY18+AZ18)/BA18),(AY18+AZ18)/BA18," - ")</f>
        <v>1.795774647887324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1136</v>
      </c>
      <c r="J19" s="135">
        <f t="shared" si="18"/>
        <v>1007</v>
      </c>
      <c r="K19" s="135">
        <f t="shared" si="18"/>
        <v>861</v>
      </c>
      <c r="L19" s="135">
        <f t="shared" si="18"/>
        <v>1318</v>
      </c>
      <c r="M19" s="135">
        <f t="shared" si="18"/>
        <v>143</v>
      </c>
      <c r="N19" s="135">
        <f t="shared" si="18"/>
        <v>490</v>
      </c>
      <c r="O19" s="135">
        <f t="shared" si="18"/>
        <v>168</v>
      </c>
      <c r="P19" s="135">
        <f t="shared" si="18"/>
        <v>132</v>
      </c>
      <c r="Q19" s="135">
        <f t="shared" si="18"/>
        <v>101</v>
      </c>
      <c r="R19" s="135">
        <f t="shared" si="18"/>
        <v>1276</v>
      </c>
      <c r="S19" s="135">
        <f t="shared" si="18"/>
        <v>753</v>
      </c>
      <c r="T19" s="135">
        <f t="shared" si="18"/>
        <v>756</v>
      </c>
      <c r="U19" s="135">
        <f t="shared" si="18"/>
        <v>706</v>
      </c>
      <c r="V19" s="135">
        <f t="shared" si="18"/>
        <v>803</v>
      </c>
      <c r="W19" s="135">
        <f t="shared" si="18"/>
        <v>120</v>
      </c>
      <c r="X19" s="135">
        <f t="shared" si="18"/>
        <v>390</v>
      </c>
      <c r="Y19" s="135">
        <f t="shared" si="18"/>
        <v>12</v>
      </c>
      <c r="Z19" s="135">
        <f t="shared" si="18"/>
        <v>12</v>
      </c>
      <c r="AA19" s="135">
        <f t="shared" si="18"/>
        <v>14</v>
      </c>
      <c r="AB19" s="135">
        <f t="shared" si="18"/>
        <v>11</v>
      </c>
      <c r="AC19" s="135">
        <f t="shared" si="18"/>
        <v>1</v>
      </c>
      <c r="AD19" s="135">
        <f t="shared" si="18"/>
        <v>11</v>
      </c>
      <c r="AE19" s="135">
        <f t="shared" si="18"/>
        <v>12</v>
      </c>
      <c r="AF19" s="135">
        <f t="shared" si="18"/>
        <v>0</v>
      </c>
      <c r="AG19" s="135">
        <f t="shared" si="18"/>
        <v>7</v>
      </c>
      <c r="AH19" s="135">
        <f t="shared" si="18"/>
        <v>25</v>
      </c>
      <c r="AI19" s="135">
        <f t="shared" si="18"/>
        <v>22</v>
      </c>
      <c r="AJ19" s="135">
        <f t="shared" si="18"/>
        <v>10</v>
      </c>
      <c r="AK19" s="135">
        <f t="shared" si="18"/>
        <v>1</v>
      </c>
      <c r="AL19" s="135">
        <f t="shared" si="18"/>
        <v>2</v>
      </c>
      <c r="AM19" s="135">
        <f t="shared" si="18"/>
        <v>2</v>
      </c>
      <c r="AN19" s="214">
        <f t="shared" si="18"/>
        <v>1</v>
      </c>
      <c r="AO19" s="215">
        <v>3</v>
      </c>
      <c r="AP19" s="215">
        <v>2</v>
      </c>
      <c r="AQ19" s="215">
        <v>2</v>
      </c>
      <c r="AR19" s="215">
        <v>2</v>
      </c>
      <c r="AS19" s="157">
        <f t="shared" si="18"/>
        <v>0</v>
      </c>
      <c r="AT19" s="157">
        <f t="shared" si="18"/>
        <v>0</v>
      </c>
      <c r="AU19" s="215"/>
      <c r="AV19" s="216"/>
      <c r="AW19" s="215"/>
      <c r="AX19" s="216"/>
      <c r="AY19" s="134">
        <f>SUBTOTAL(9,AY9:AY18)</f>
        <v>760</v>
      </c>
      <c r="AZ19" s="135">
        <f>SUBTOTAL(9,AZ9:AZ18)</f>
        <v>781</v>
      </c>
      <c r="BA19" s="135">
        <f>SUBTOTAL(9,BA9:BA18)</f>
        <v>728</v>
      </c>
      <c r="BB19" s="135">
        <f>SUBTOTAL(9,BB9:BB18)</f>
        <v>813</v>
      </c>
      <c r="BC19" s="136">
        <f>SUBTOTAL(9,BC9:BC18)</f>
        <v>192</v>
      </c>
      <c r="BD19" s="217">
        <f>IF(ISNUMBER(BA19/AZ19),BA19/AZ19," - ")</f>
        <v>0.93213828425096035</v>
      </c>
      <c r="BE19" s="214">
        <f>IF(ISNUMBER(BB19/BA19),BB19/BA19, " - ")</f>
        <v>1.1167582417582418</v>
      </c>
      <c r="BF19" s="214">
        <f>IF(ISNUMBER(BC19/BA19),BC19/BA19, " - ")</f>
        <v>0.26373626373626374</v>
      </c>
      <c r="BG19" s="136">
        <f>IF(ISNUMBER((AY19+AZ19)/BA19),(AY19+AZ19)/BA19," - ")</f>
        <v>2.1167582417582418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H/o5s0hElf0uD5I0/neLdA23s6wbY9vwvoyKUz+1tnDyBjipo/9wMAOiF8jnrJsmBs8QcwkgqfNJJH6BSyGGg==" saltValue="4oGn+W4MyXa8IbqoFD3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QKpeYy4jUODdzpXbENUJQkd6uhwlCKPtM0HC4D2Ksa5LIjn6pzUhn+IpJfJGIr/LAM1pEwSXXB2zZ4Ze4FVlA==" saltValue="wOsjxFFVrPQsYiDZUYUC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MONZON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1</v>
      </c>
      <c r="AD10" s="503"/>
      <c r="AE10" s="516"/>
      <c r="AF10" s="505">
        <f>IF(ISNUMBER(Datos!L10),Datos!L10,"-")</f>
        <v>7</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4.666666666666667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123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1229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78</v>
      </c>
      <c r="BD12" s="619">
        <f>IF(ISNUMBER(Datos!N12),Datos!N12," - ")</f>
        <v>182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0.88443396226415094</v>
      </c>
      <c r="BH12" s="669">
        <f>IF(ISNUMBER(((IF(J_V="SI",Datos!L12/Datos!K12,(Datos!L12+Datos!AB12)/(Datos!K12+Datos!AA12)))*11)/factor_trimestre),((IF(J_V="SI",Datos!L12/Datos!K12,(Datos!L12+Datos!AB12)/(Datos!K12+Datos!AA12)))*11)/factor_trimestre," - ")</f>
        <v>3.9786666666666672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2.4166666666666666E-2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123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95</v>
      </c>
      <c r="AD13" s="1045">
        <f t="shared" si="1"/>
        <v>0</v>
      </c>
      <c r="AE13" s="1045">
        <f t="shared" si="1"/>
        <v>0</v>
      </c>
      <c r="AF13" s="1045">
        <f t="shared" si="1"/>
        <v>7</v>
      </c>
      <c r="AG13" s="1045">
        <f t="shared" si="1"/>
        <v>0</v>
      </c>
      <c r="AH13" s="1045">
        <f t="shared" si="1"/>
        <v>11</v>
      </c>
      <c r="AI13" s="1045">
        <f t="shared" si="1"/>
        <v>0</v>
      </c>
      <c r="AJ13" s="1045">
        <f t="shared" si="1"/>
        <v>0</v>
      </c>
      <c r="AK13" s="1045">
        <f t="shared" si="1"/>
        <v>0</v>
      </c>
      <c r="AL13" s="1045">
        <f t="shared" si="1"/>
        <v>0</v>
      </c>
      <c r="AM13" s="1045">
        <f t="shared" si="1"/>
        <v>1232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81</v>
      </c>
      <c r="BD13" s="1045">
        <f t="shared" si="1"/>
        <v>182</v>
      </c>
      <c r="BE13" s="1045">
        <f t="shared" si="1"/>
        <v>0</v>
      </c>
      <c r="BF13" s="1045">
        <f t="shared" si="1"/>
        <v>0</v>
      </c>
      <c r="BG13" s="1045">
        <f>IF(ISNUMBER(Datos!K13/Datos!J13),Datos!K13/Datos!J13," - ")</f>
        <v>0.875</v>
      </c>
      <c r="BH13" s="1049">
        <f>IF(ISNUMBER(((Datos!L13/Datos!K13)*11)/factor_trimestre),((Datos!L13/Datos!K13)*11)/factor_trimestre," - ")</f>
        <v>4.0769230769230766</v>
      </c>
      <c r="BI13" s="1045">
        <f>IF(ISNUMBER('Resol  Asuntos'!D13/NºAsuntos!G13),'Resol  Asuntos'!D13/NºAsuntos!G13," - ")</f>
        <v>0.21428571428571427</v>
      </c>
      <c r="BJ13" s="1045" t="str">
        <f>IF(ISNUMBER(Datos!CI13/Datos!CJ13),Datos!CI13/Datos!CJ13," - ")</f>
        <v xml:space="preserve"> - </v>
      </c>
      <c r="BK13" s="1045">
        <f>SUBTOTAL(9,BK8:BK12)</f>
        <v>0</v>
      </c>
      <c r="BL13" s="1045">
        <f>IF(ISNUMBER((I13-AB13+L13)/(F13)),(I13-AB13+L13)/(F13)," - ")</f>
        <v>-0.5</v>
      </c>
      <c r="BM13" s="1050">
        <f>SUBTOTAL(9,BM9:BM12)</f>
        <v>-0.22583333333333333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441</v>
      </c>
      <c r="G16" s="650">
        <f>IF(ISNUMBER(IF(D_I="SI",Datos!I16,Datos!I16+Datos!AC16)),IF(D_I="SI",Datos!I16,Datos!I16+Datos!AC16)," - ")</f>
        <v>411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442</v>
      </c>
      <c r="AC16" s="230">
        <f>IF(ISNUMBER(Datos!Q16),Datos!Q16," - ")</f>
        <v>6</v>
      </c>
      <c r="AD16" s="343"/>
      <c r="AE16" s="515"/>
      <c r="AF16" s="648">
        <f>IF(ISNUMBER(IF(D_I="SI",Datos!L16,Datos!L16+Datos!AF16)),IF(D_I="SI",Datos!L16,Datos!L16+Datos!AF16)," - ")</f>
        <v>526</v>
      </c>
      <c r="AG16" s="343"/>
      <c r="AH16" s="343"/>
      <c r="AI16" s="343"/>
      <c r="AJ16" s="503"/>
      <c r="AK16" s="343"/>
      <c r="AL16" s="499"/>
      <c r="AM16" s="344">
        <f>IF(ISNUMBER(Datos!R16),Datos!R16," - ")</f>
        <v>42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43</v>
      </c>
      <c r="BD16" s="233">
        <f>IF(ISNUMBER(Datos!N16),Datos!N16," - ")</f>
        <v>285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0.83870967741935487</v>
      </c>
      <c r="BH16" s="669">
        <f>IF(ISNUMBER(((IF(D_I="SI",Datos!L16/Datos!K16,(Datos!L16+Datos!AF16)/(Datos!K16+Datos!AE16)))*11)/factor_trimestre),((IF(D_I="SI",Datos!L16/Datos!K16,(Datos!L16+Datos!AF16)/(Datos!K16+Datos!AE16)))*11)/factor_trimestre," - ")</f>
        <v>2.3800904977375565</v>
      </c>
      <c r="BI16" s="247">
        <f>IF(ISNUMBER('Resol  Asuntos'!D16/NºAsuntos!G16),'Resol  Asuntos'!D16/NºAsuntos!G16," - ")</f>
        <v>9.7285067873303169E-2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55</v>
      </c>
      <c r="AC17" s="501">
        <f>IF(ISNUMBER(Datos!Q17),Datos!Q17," - ")</f>
        <v>0</v>
      </c>
      <c r="AD17" s="503"/>
      <c r="AE17" s="515"/>
      <c r="AF17" s="505">
        <f>IF(ISNUMBER(Datos!L17),Datos!L17,"-")</f>
        <v>50</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23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0.859375</v>
      </c>
      <c r="BH17" s="669">
        <f>IF(ISNUMBER(((IF(D_I="SI",Datos!L17/Datos!K17,(Datos!L17+Datos!AF17)/(Datos!K17+Datos!AE17)))*11)/factor_trimestre),((IF(D_I="SI",Datos!L17/Datos!K17,(Datos!L17+Datos!AF17)/(Datos!K17+Datos!AE17)))*11)/factor_trimestre," - ")</f>
        <v>1.8181818181818181</v>
      </c>
      <c r="BI17" s="668">
        <f>IF(ISNUMBER('Resol  Asuntos'!D17/NºAsuntos!G17),'Resol  Asuntos'!D17/NºAsuntos!G17," - ")</f>
        <v>0.34545454545454546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441</v>
      </c>
      <c r="G18" s="1044">
        <f>SUBTOTAL(9,G15:G17)</f>
        <v>452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497</v>
      </c>
      <c r="AC18" s="1045">
        <f t="shared" si="4"/>
        <v>6</v>
      </c>
      <c r="AD18" s="1045">
        <f t="shared" si="4"/>
        <v>0</v>
      </c>
      <c r="AE18" s="1045">
        <f t="shared" si="4"/>
        <v>0</v>
      </c>
      <c r="AF18" s="1045">
        <f t="shared" si="4"/>
        <v>576</v>
      </c>
      <c r="AG18" s="1045">
        <f t="shared" si="4"/>
        <v>0</v>
      </c>
      <c r="AH18" s="1045">
        <f t="shared" si="4"/>
        <v>0</v>
      </c>
      <c r="AI18" s="1045">
        <f t="shared" si="4"/>
        <v>0</v>
      </c>
      <c r="AJ18" s="1045">
        <f t="shared" si="4"/>
        <v>0</v>
      </c>
      <c r="AK18" s="1045">
        <f t="shared" si="4"/>
        <v>0</v>
      </c>
      <c r="AL18" s="1045">
        <f t="shared" si="4"/>
        <v>0</v>
      </c>
      <c r="AM18" s="1045">
        <f t="shared" si="4"/>
        <v>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62</v>
      </c>
      <c r="BD18" s="1045">
        <f t="shared" si="4"/>
        <v>308</v>
      </c>
      <c r="BE18" s="1045">
        <f t="shared" si="4"/>
        <v>0</v>
      </c>
      <c r="BF18" s="1045">
        <f t="shared" si="4"/>
        <v>0</v>
      </c>
      <c r="BG18" s="1045">
        <f>IF(ISNUMBER(Datos!K18/Datos!J18),Datos!K18/Datos!J18," - ")</f>
        <v>0.84094754653130288</v>
      </c>
      <c r="BH18" s="1049">
        <f>IF(ISNUMBER(((Datos!L18/Datos!K18)*11)/factor_trimestre),((Datos!L18/Datos!K18)*11)/factor_trimestre," - ")</f>
        <v>2.3179074446680081</v>
      </c>
      <c r="BI18" s="1045">
        <f>SUBTOTAL(9,BI15:BI17)</f>
        <v>0.44273961332784861</v>
      </c>
      <c r="BJ18" s="1045">
        <f>SUBTOTAL(9,BJ15:BJ17)</f>
        <v>0</v>
      </c>
      <c r="BK18" s="1045">
        <f>SUBTOTAL(9,BK15:BK17)</f>
        <v>0</v>
      </c>
      <c r="BL18" s="1045">
        <f>IF(ISNUMBER((I18-AB18+L18)/(F18)),(I18-AB18+L18)/(F18)," - ")</f>
        <v>-1.126984126984127</v>
      </c>
      <c r="BM18" s="1051">
        <f>IF(ISNUMBER((Datos!P18-Datos!Q18)/(Datos!R18-Datos!P18+Datos!Q18)),(Datos!P18-Datos!Q18)/(Datos!R18-Datos!P18+Datos!Q18)," - ")</f>
        <v>7.3170731707317069E-2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447</v>
      </c>
      <c r="G19" s="966">
        <f t="shared" si="6"/>
        <v>458</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132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500</v>
      </c>
      <c r="AC19" s="967">
        <f t="shared" si="7"/>
        <v>101</v>
      </c>
      <c r="AD19" s="967">
        <f t="shared" si="7"/>
        <v>0</v>
      </c>
      <c r="AE19" s="967">
        <f t="shared" si="7"/>
        <v>0</v>
      </c>
      <c r="AF19" s="974">
        <f t="shared" si="7"/>
        <v>583</v>
      </c>
      <c r="AG19" s="974">
        <f t="shared" si="7"/>
        <v>0</v>
      </c>
      <c r="AH19" s="974">
        <f t="shared" si="7"/>
        <v>11</v>
      </c>
      <c r="AI19" s="974">
        <f t="shared" si="7"/>
        <v>0</v>
      </c>
      <c r="AJ19" s="967">
        <f t="shared" si="7"/>
        <v>0</v>
      </c>
      <c r="AK19" s="974">
        <f t="shared" si="7"/>
        <v>0</v>
      </c>
      <c r="AL19" s="974">
        <f t="shared" si="7"/>
        <v>0</v>
      </c>
      <c r="AM19" s="974">
        <f t="shared" si="7"/>
        <v>1276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143</v>
      </c>
      <c r="BD19" s="966">
        <f t="shared" si="7"/>
        <v>490</v>
      </c>
      <c r="BE19" s="966">
        <f t="shared" si="7"/>
        <v>0</v>
      </c>
      <c r="BF19" s="976">
        <f t="shared" si="7"/>
        <v>0</v>
      </c>
      <c r="BG19" s="1061">
        <f>IF(ISNUMBER(Datos!K19/Datos!J19),Datos!K19/Datos!J19," - ")</f>
        <v>0.85501489572989076</v>
      </c>
      <c r="BH19" s="1061">
        <f>IF(ISNUMBER(((Datos!L19/Datos!K19)*11)/factor_trimestre),((Datos!L19/Datos!K19)*11)/factor_trimestre," - ")</f>
        <v>3.0615563298490129</v>
      </c>
      <c r="BI19" s="959">
        <f>IF(ISNUMBER(Datos!J19/Datos!I19),Datos!J19/Datos!I19," - ")</f>
        <v>0.886443661971831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-1.1185682326621924</v>
      </c>
      <c r="BM19" s="1035">
        <f>IF(ISNUMBER((Datos!P19-Datos!Q19+R19)/(Datos!R19-Datos!P19+Datos!Q19-R19)),(Datos!P19-Datos!Q19+R19)/(Datos!R19-Datos!P19+Datos!Q19-R19)," - ")</f>
        <v>2.4899598393574297E-2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251.14736709748721</v>
      </c>
      <c r="G21" s="600">
        <f>IF(ISNUMBER(STDEV(G8:G18)),STDEV(G8:G18),"-")</f>
        <v>227.57789875117487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247.69739602991388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31.860110901669298</v>
      </c>
      <c r="BD21" s="599"/>
      <c r="BE21" s="599">
        <f>IF(ISNUMBER(STDEV(BE8:BE18)),STDEV(BE8:BE18),"-")</f>
        <v>0</v>
      </c>
      <c r="BF21" s="604">
        <f>IF(ISNUMBER(STDEV(BF8:BF18)),STDEV(BF8:BF18),"-")</f>
        <v>0</v>
      </c>
      <c r="BG21" s="914">
        <f>IF(ISNUMBER(STDEV(BG8:BG18)),STDEV(BG8:BG18),"-")</f>
        <v>4.8301934439065948E-2</v>
      </c>
      <c r="BH21" s="918">
        <f>IF(ISNUMBER(STDEV(BH8:BH18)),STDEV(BH8:BH18),"-")</f>
        <v>1.1735366295263179</v>
      </c>
      <c r="BI21" s="253">
        <f>IF(ISNUMBER(STDEV(BI8:BI18)),STDEV(BI8:BI18),"-")</f>
        <v>0.15096272015742271</v>
      </c>
      <c r="BJ21" s="234" t="str">
        <f>IF(ISNUMBER(BL21/BM21),BL21/BM21," - ")</f>
        <v xml:space="preserve"> - </v>
      </c>
      <c r="BK21" s="626"/>
      <c r="BL21" s="607">
        <f>IF(ISNUMBER(STDEV(BL8:BL18)),STDEV(BL8:BL18),"-")</f>
        <v>0.44334472788680357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x3D6lH9PtaTLnOUhWxXmt1Y+MZfa5wmcC3taMLV2tUHsQ5bk+9n9raWJHSgjfWLsC5NAEYJdMpdgpMh8gtKg==" saltValue="OHEWo1sYBm8g2ndHTHWp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MONZON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1</v>
      </c>
      <c r="AA10" s="505">
        <f>IF(ISNUMBER(Datos!L10),Datos!L10,"-")</f>
        <v>7</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4.666666666666667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94</v>
      </c>
      <c r="AA12" s="505" t="str">
        <f>IF(ISNUMBER(IF(J_V="SI",Datos!L12,Datos!L12+Datos!AB12)-IF(Monitorios="SI",Datos!CD12,0)),
                          IF(J_V="SI",Datos!L12,Datos!L12+Datos!AB12)-IF(Monitorios="SI",Datos!CD12,0),
                          " - ")</f>
        <v xml:space="preserve"> - </v>
      </c>
      <c r="AB12" s="503"/>
      <c r="AC12" s="503"/>
      <c r="AD12" s="516"/>
      <c r="AE12" s="516">
        <f>IF(ISNUMBER(Datos!R12),Datos!R12," - ")</f>
        <v>1229</v>
      </c>
      <c r="AF12" s="619" t="str">
        <f>IF(ISNUMBER(Datos!BV12),Datos!BV12," - ")</f>
        <v xml:space="preserve"> - </v>
      </c>
      <c r="AG12" s="506" t="str">
        <f>IF(ISNUMBER(Datos!DV12),Datos!DV12," - ")</f>
        <v xml:space="preserve"> - </v>
      </c>
      <c r="AH12" s="507"/>
      <c r="AI12" s="508"/>
      <c r="AJ12" s="506">
        <f>IF(ISNUMBER(Datos!M12),Datos!M12," - ")</f>
        <v>78</v>
      </c>
      <c r="AK12" s="619">
        <f>IF(ISNUMBER(Datos!N12),Datos!N12," - ")</f>
        <v>182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3.9786666666666672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2.4166666666666666E-2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123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95</v>
      </c>
      <c r="AA13" s="1046">
        <f t="shared" si="2"/>
        <v>7</v>
      </c>
      <c r="AB13" s="1046">
        <f t="shared" si="2"/>
        <v>0</v>
      </c>
      <c r="AC13" s="1046">
        <f t="shared" si="2"/>
        <v>0</v>
      </c>
      <c r="AD13" s="1046">
        <f t="shared" si="2"/>
        <v>0</v>
      </c>
      <c r="AE13" s="1046">
        <f t="shared" si="2"/>
        <v>1232</v>
      </c>
      <c r="AF13" s="1054">
        <f t="shared" si="2"/>
        <v>0</v>
      </c>
      <c r="AG13" s="1054">
        <f t="shared" si="2"/>
        <v>0</v>
      </c>
      <c r="AH13" s="1054">
        <f t="shared" si="2"/>
        <v>0</v>
      </c>
      <c r="AI13" s="1054">
        <f t="shared" si="2"/>
        <v>0</v>
      </c>
      <c r="AJ13" s="1054">
        <f t="shared" si="2"/>
        <v>81</v>
      </c>
      <c r="AK13" s="1054">
        <f t="shared" si="2"/>
        <v>182</v>
      </c>
      <c r="AL13" s="1054">
        <f t="shared" si="2"/>
        <v>0</v>
      </c>
      <c r="AM13" s="1054">
        <f t="shared" si="2"/>
        <v>0</v>
      </c>
      <c r="AN13" s="1054">
        <f t="shared" si="2"/>
        <v>0</v>
      </c>
      <c r="AO13" s="1050">
        <f>IF(ISNUMBER(((NºAsuntos!I13/NºAsuntos!G13)*11)/factor_trimestre),((NºAsuntos!I13/NºAsuntos!G13)*11)/factor_trimestre," - ")</f>
        <v>3.9841269841269837</v>
      </c>
      <c r="AP13" s="1056" t="str">
        <f>IF(ISNUMBER(Datos!CI13/Datos!CJ13),Datos!CI13/Datos!CJ13," - ")</f>
        <v xml:space="preserve"> - </v>
      </c>
      <c r="AQ13" s="1074">
        <f t="shared" ref="AQ13:AV13" si="3">SUBTOTAL(9,AQ9:AQ12)</f>
        <v>0</v>
      </c>
      <c r="AR13" s="1074">
        <f t="shared" si="3"/>
        <v>-0.22583333333333333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441</v>
      </c>
      <c r="G16" s="506">
        <f>IF(ISNUMBER(IF(D_I="SI",Datos!I16,Datos!I16+Datos!AC16)),IF(D_I="SI",Datos!I16,Datos!I16+Datos!AC16)," - ")</f>
        <v>411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442</v>
      </c>
      <c r="Z16" s="703">
        <f>IF(ISNUMBER(Datos!Q16),Datos!Q16," - ")</f>
        <v>6</v>
      </c>
      <c r="AA16" s="505">
        <f>IF(ISNUMBER(IF(D_I="SI",Datos!L16,Datos!L16+Datos!AF16)),IF(D_I="SI",Datos!L16,Datos!L16+Datos!AF16)," - ")</f>
        <v>526</v>
      </c>
      <c r="AB16" s="503"/>
      <c r="AC16" s="503"/>
      <c r="AD16" s="516"/>
      <c r="AE16" s="516">
        <f>IF(ISNUMBER(Datos!R16),Datos!R16," - ")</f>
        <v>42</v>
      </c>
      <c r="AF16" s="619" t="str">
        <f>IF(ISNUMBER(Datos!BV16),Datos!BV16," - ")</f>
        <v xml:space="preserve"> - </v>
      </c>
      <c r="AG16" s="506"/>
      <c r="AH16" s="507"/>
      <c r="AI16" s="508"/>
      <c r="AJ16" s="506">
        <f>IF(ISNUMBER(Datos!M16),Datos!M16," - ")</f>
        <v>43</v>
      </c>
      <c r="AK16" s="619">
        <f>IF(ISNUMBER(Datos!N16),Datos!N16," - ")</f>
        <v>285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2.3800904977375565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55</v>
      </c>
      <c r="Z17" s="703">
        <f>IF(ISNUMBER(Datos!Q17),Datos!Q17," - ")</f>
        <v>0</v>
      </c>
      <c r="AA17" s="505">
        <f>IF(ISNUMBER(Datos!L17),Datos!L17,"-")</f>
        <v>50</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19</v>
      </c>
      <c r="AK17" s="619">
        <f>IF(ISNUMBER(Datos!N17),Datos!N17," - ")</f>
        <v>23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1.8181818181818181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441</v>
      </c>
      <c r="G18" s="1044">
        <f>SUBTOTAL(9,G15:G17)</f>
        <v>452</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497</v>
      </c>
      <c r="Z18" s="1078">
        <f t="shared" si="5"/>
        <v>6</v>
      </c>
      <c r="AA18" s="1078">
        <f t="shared" si="5"/>
        <v>576</v>
      </c>
      <c r="AB18" s="1078">
        <f t="shared" si="5"/>
        <v>0</v>
      </c>
      <c r="AC18" s="1078">
        <f t="shared" si="5"/>
        <v>0</v>
      </c>
      <c r="AD18" s="1078">
        <f t="shared" si="5"/>
        <v>0</v>
      </c>
      <c r="AE18" s="1078">
        <f t="shared" si="5"/>
        <v>44</v>
      </c>
      <c r="AF18" s="1078">
        <f t="shared" si="5"/>
        <v>0</v>
      </c>
      <c r="AG18" s="1078">
        <f t="shared" si="5"/>
        <v>0</v>
      </c>
      <c r="AH18" s="1078">
        <f t="shared" si="5"/>
        <v>0</v>
      </c>
      <c r="AI18" s="1078">
        <f t="shared" si="5"/>
        <v>0</v>
      </c>
      <c r="AJ18" s="1078">
        <f t="shared" si="5"/>
        <v>62</v>
      </c>
      <c r="AK18" s="1078">
        <f t="shared" si="5"/>
        <v>308</v>
      </c>
      <c r="AL18" s="1078">
        <f t="shared" si="5"/>
        <v>0</v>
      </c>
      <c r="AM18" s="1078">
        <f t="shared" si="5"/>
        <v>0</v>
      </c>
      <c r="AN18" s="1078">
        <f t="shared" si="5"/>
        <v>0</v>
      </c>
      <c r="AO18" s="1080">
        <f>IF(ISNUMBER(((NºAsuntos!I18/NºAsuntos!G18)*11)/factor_trimestre),((NºAsuntos!I18/NºAsuntos!G18)*11)/factor_trimestre," - ")</f>
        <v>2.3179074446680081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447</v>
      </c>
      <c r="G19" s="966">
        <f t="shared" si="7"/>
        <v>458</v>
      </c>
      <c r="H19" s="967">
        <f t="shared" si="7"/>
        <v>0</v>
      </c>
      <c r="I19" s="966">
        <f t="shared" si="7"/>
        <v>0</v>
      </c>
      <c r="J19" s="968">
        <f t="shared" si="7"/>
        <v>0</v>
      </c>
      <c r="K19" s="966">
        <f t="shared" si="7"/>
        <v>0</v>
      </c>
      <c r="L19" s="969">
        <f t="shared" si="7"/>
        <v>0</v>
      </c>
      <c r="M19" s="966">
        <f t="shared" si="7"/>
        <v>0</v>
      </c>
      <c r="N19" s="967">
        <f t="shared" si="7"/>
        <v>132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500</v>
      </c>
      <c r="Z19" s="973">
        <f t="shared" si="8"/>
        <v>101</v>
      </c>
      <c r="AA19" s="974">
        <f t="shared" si="8"/>
        <v>583</v>
      </c>
      <c r="AB19" s="974">
        <f t="shared" si="8"/>
        <v>0</v>
      </c>
      <c r="AC19" s="974">
        <f t="shared" si="8"/>
        <v>0</v>
      </c>
      <c r="AD19" s="975">
        <f t="shared" si="8"/>
        <v>0</v>
      </c>
      <c r="AE19" s="975">
        <f t="shared" si="8"/>
        <v>1276</v>
      </c>
      <c r="AF19" s="976">
        <f t="shared" si="8"/>
        <v>0</v>
      </c>
      <c r="AG19" s="977">
        <f t="shared" si="8"/>
        <v>0</v>
      </c>
      <c r="AH19" s="978">
        <f t="shared" si="8"/>
        <v>0</v>
      </c>
      <c r="AI19" s="976">
        <f t="shared" si="8"/>
        <v>0</v>
      </c>
      <c r="AJ19" s="966">
        <f t="shared" si="8"/>
        <v>143</v>
      </c>
      <c r="AK19" s="966">
        <f t="shared" si="8"/>
        <v>490</v>
      </c>
      <c r="AL19" s="966">
        <f t="shared" si="8"/>
        <v>0</v>
      </c>
      <c r="AM19" s="979">
        <f t="shared" si="8"/>
        <v>0</v>
      </c>
      <c r="AN19" s="969">
        <f>IF(ISNUMBER(Datos!K19/Datos!J19),Datos!K19/Datos!J19," - ")</f>
        <v>0.85501489572989076</v>
      </c>
      <c r="AO19" s="969">
        <f>IF(ISNUMBER(FIND("06",Criterios!A8,1)),(IF(ISNUMBER(((Datos!R19/Datos!Q19)*11)/factor_trimestre),((Datos!R19/Datos!Q19)*11)/factor_trimestre," - ")),(IF(ISNUMBER(((Datos!L19/Datos!K19)*11)/factor_trimestre),((Datos!L19/Datos!K19)*11)/factor_trimestre," - ")))</f>
        <v>3.0615563298490129</v>
      </c>
      <c r="AP19" s="980" t="str">
        <f>IF(ISNUMBER(Datos!CI19/Datos!CJ19),Datos!CI19/Datos!CJ19," - ")</f>
        <v xml:space="preserve"> - </v>
      </c>
      <c r="AQ19" s="980">
        <f>IF(OR(ISNUMBER(FIND("01",Criterios!A8,1)),ISNUMBER(FIND("02",Criterios!A8,1)),ISNUMBER(FIND("03",Criterios!A8,1)),ISNUMBER(FIND("04",Criterios!A8,1))),(J19-Y19+K19)/(F19-K19),(I19-Y19+K19)/(F19-K19))</f>
        <v>-1.1185682326621924</v>
      </c>
      <c r="AR19" s="980">
        <f>IF(ISNUMBER((Datos!P19-Datos!Q19+O19)/(Datos!R19-Datos!P19+Datos!Q19-O19)),(Datos!P19-Datos!Q19+O19)/(Datos!R19-Datos!P19+Datos!Q19-O19)," - ")</f>
        <v>2.4899598393574297E-2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251.14736709748721</v>
      </c>
      <c r="G21" s="600">
        <f>IF(ISNUMBER(STDEV(G8:G18)),STDEV(G8:G18),"-")</f>
        <v>227.57789875117487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31.860110901669298</v>
      </c>
      <c r="AK21" s="256"/>
      <c r="AL21" s="256">
        <f>IF(ISNUMBER(STDEV(AL8:AL18)),STDEV(AL8:AL18),"-")</f>
        <v>0</v>
      </c>
      <c r="AM21" s="258">
        <f>IF(ISNUMBER(STDEV(AM8:AM18)),STDEV(AM8:AM18),"-")</f>
        <v>0</v>
      </c>
      <c r="AN21" s="586">
        <f>IF(ISNUMBER(STDEV(AN8:AN18)),STDEV(AN8:AN18),"-")</f>
        <v>0</v>
      </c>
      <c r="AO21" s="587">
        <f>IF(ISNUMBER(STDEV(AO8:AO18)),STDEV(AO8:AO18),"-")</f>
        <v>1.1603065001640616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6JA/9cxtrKY/ueLQz4+ELaMD5jVxKN1zniV7n7/B+cN5ky+ywmhjuDXshHJSCGxUfqB5JS5UWFW74FThKvFLQ==" saltValue="qPc1Nrwg6PEylWcEbLYm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AoWASQbeLMWcYzKkLQmy3gHY1Rd6SObYTM2x+59u/pV0c98CetKCjzsi9EHU2e6PZjBygnbduIchFP7mvNIww==" saltValue="NWkhmI6QqdutYPSFloFu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1nla4UlwM5OrcKOrX3FV1sGntS6cfadMzMazkvZeMiaeuFjUltkV602RlzxTqaHeSXMdG24b52rZgIUc20elw==" saltValue="UnJ88Mi3q+F9+dMNWwD6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MONZON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0.21428571428571427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0.15152288168283159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FbyI41tkojA54/6SirPnXJ4fPS+B41fMz7dTGbvd6VAa5GeQLK1lQ1QCpM3ZX2EJKD5uyHcW01EjrbVcUp5bw==" saltValue="vbS4ZENqe7LxU7gN9bFR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1fu1x4M5ilyn5emtsMCwzCXmNeOTxst3VXFhwdkqAJ7np+EbItS301VXBCD2uhYRn/zSUCne9KP+u1uKgnE4A==" saltValue="NUlOuCFHryDTKYYQIsHB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MONZON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4</v>
      </c>
      <c r="F10" s="415">
        <f>IF(ISNUMBER(E10/B10),E10/B10," - ")</f>
        <v>4</v>
      </c>
      <c r="G10" s="414">
        <f>IF(ISNUMBER(Datos!K10),Datos!K10," - ")</f>
        <v>3</v>
      </c>
      <c r="H10" s="415">
        <f>IF(ISNUMBER(G10/B10),G10/B10," - ")</f>
        <v>3</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690</v>
      </c>
      <c r="D12" s="415">
        <f>IF(ISNUMBER(C12/Datos!BH12),C12/Datos!BH12," - ")</f>
        <v>345</v>
      </c>
      <c r="E12" s="414">
        <f>IF(ISNUMBER(IF(J_V="SI",Datos!J12,Datos!J12+Datos!Z12)),IF(J_V="SI",Datos!J12,Datos!J12+Datos!Z12)," - ")</f>
        <v>424</v>
      </c>
      <c r="F12" s="415">
        <f>IF(ISNUMBER(E12/B12),E12/B12," - ")</f>
        <v>212</v>
      </c>
      <c r="G12" s="414">
        <f>IF(ISNUMBER(IF(J_V="SI",Datos!K12,Datos!K12+Datos!AA12)),IF(J_V="SI",Datos!K12,Datos!K12+Datos!AA12)," - ")</f>
        <v>375</v>
      </c>
      <c r="H12" s="415">
        <f>IF(ISNUMBER(G12/B12),G12/B12," - ")</f>
        <v>187.5</v>
      </c>
      <c r="I12" s="414">
        <f>IF(ISNUMBER(IF(J_V="SI",Datos!L12,Datos!L12+Datos!AB12)),IF(J_V="SI",Datos!L12,Datos!L12+Datos!AB12)," - ")</f>
        <v>746</v>
      </c>
      <c r="J12" s="415">
        <f>IF(ISNUMBER(I12/B12),I12/B12," - ")</f>
        <v>373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696</v>
      </c>
      <c r="D13" s="996" t="str">
        <f>IF(ISNUMBER(C13/Datos!BI13),C13/Datos!BI13," - ")</f>
        <v xml:space="preserve"> - </v>
      </c>
      <c r="E13" s="995">
        <f>SUBTOTAL(9,E8:E12)</f>
        <v>428</v>
      </c>
      <c r="F13" s="996">
        <f>IF(ISNUMBER(E13/B13),E13/B13," - ")</f>
        <v>214</v>
      </c>
      <c r="G13" s="995">
        <f>SUBTOTAL(9,G8:G12)</f>
        <v>378</v>
      </c>
      <c r="H13" s="996">
        <f>IF(ISNUMBER(G13/B13),G13/B13," - ")</f>
        <v>189</v>
      </c>
      <c r="I13" s="995">
        <f>SUBTOTAL(9,I8:I12)</f>
        <v>753</v>
      </c>
      <c r="J13" s="996">
        <f>IF(ISNUMBER(I13/B13),I13/B13," - ")</f>
        <v>376.5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411</v>
      </c>
      <c r="D16" s="415">
        <f>IF(ISNUMBER(C16/Datos!BH16),C16/Datos!BH16," - ")</f>
        <v>205.5</v>
      </c>
      <c r="E16" s="414">
        <f>IF(ISNUMBER(IF(D_I="SI",Datos!J16,Datos!J16+Datos!AD16)),IF(D_I="SI",Datos!J16,Datos!J16+Datos!AD16)," - ")</f>
        <v>527</v>
      </c>
      <c r="F16" s="415">
        <f>IF(ISNUMBER(E16/B16),E16/B16," - ")</f>
        <v>263.5</v>
      </c>
      <c r="G16" s="414">
        <f>IF(ISNUMBER(IF(D_I="SI",Datos!K16,Datos!K16+Datos!AE16)),IF(D_I="SI",Datos!K16,Datos!K16+Datos!AE16)," - ")</f>
        <v>442</v>
      </c>
      <c r="H16" s="415">
        <f>IF(ISNUMBER(G16/B16),G16/B16," - ")</f>
        <v>221</v>
      </c>
      <c r="I16" s="414">
        <f>IF(ISNUMBER(IF(D_I="SI",Datos!L16,Datos!L16+Datos!AF16)),IF(D_I="SI",Datos!L16,Datos!L16+Datos!AF16)," - ")</f>
        <v>526</v>
      </c>
      <c r="J16" s="415">
        <f>IF(ISNUMBER(I16/B16),I16/B16," - ")</f>
        <v>263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41</v>
      </c>
      <c r="D17" s="415">
        <f>IF(ISNUMBER(C17/Datos!BH17),C17/Datos!BH17," - ")</f>
        <v>41</v>
      </c>
      <c r="E17" s="414">
        <f>IF(ISNUMBER(IF(D_I="SI",Datos!J17,Datos!J17+Datos!AD17)),IF(D_I="SI",Datos!J17,Datos!J17+Datos!AD17)," - ")</f>
        <v>64</v>
      </c>
      <c r="F17" s="415">
        <f>IF(ISNUMBER(E17/B17),E17/B17," - ")</f>
        <v>64</v>
      </c>
      <c r="G17" s="414">
        <f>IF(ISNUMBER(IF(D_I="SI",Datos!K17,Datos!K17+Datos!AE17)),IF(D_I="SI",Datos!K17,Datos!K17+Datos!AE17)," - ")</f>
        <v>55</v>
      </c>
      <c r="H17" s="415">
        <f>IF(ISNUMBER(G17/B17),G17/B17," - ")</f>
        <v>55</v>
      </c>
      <c r="I17" s="414">
        <f>IF(ISNUMBER(IF(D_I="SI",Datos!L17,Datos!L17+Datos!AF17)),IF(D_I="SI",Datos!L17,Datos!L17+Datos!AF17)," - ")</f>
        <v>50</v>
      </c>
      <c r="J17" s="415">
        <f>IF(ISNUMBER(I17/B17),I17/B17," - ")</f>
        <v>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452</v>
      </c>
      <c r="D18" s="996" t="str">
        <f>IF(ISNUMBER(C18/Datos!BI18),C18/Datos!BI18," - ")</f>
        <v xml:space="preserve"> - </v>
      </c>
      <c r="E18" s="995">
        <f>SUBTOTAL(9,E14:E17)</f>
        <v>591</v>
      </c>
      <c r="F18" s="996">
        <f>IF(ISNUMBER(E18/B18),E18/B18," - ")</f>
        <v>295.5</v>
      </c>
      <c r="G18" s="995">
        <f>SUBTOTAL(9,G14:G17)</f>
        <v>497</v>
      </c>
      <c r="H18" s="996">
        <f>IF(ISNUMBER(G18/B18),G18/B18," - ")</f>
        <v>248.5</v>
      </c>
      <c r="I18" s="995">
        <f>SUBTOTAL(9,I14:I17)</f>
        <v>576</v>
      </c>
      <c r="J18" s="996">
        <f>IF(ISNUMBER(I18/B18),I18/B18," - ")</f>
        <v>288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1148</v>
      </c>
      <c r="D19" s="941" t="str">
        <f>IF(ISNUMBER(C19/Datos!BI19),C19/Datos!BI19," - ")</f>
        <v xml:space="preserve"> - </v>
      </c>
      <c r="E19" s="940">
        <f>SUBTOTAL(9,E9:E18)</f>
        <v>1019</v>
      </c>
      <c r="F19" s="941">
        <f>IF(ISNUMBER(E19/B19),E19/B19," - ")</f>
        <v>509.5</v>
      </c>
      <c r="G19" s="940">
        <f>SUBTOTAL(9,G9:G18)</f>
        <v>875</v>
      </c>
      <c r="H19" s="941">
        <f>IF(ISNUMBER(G19/B19),G19/B19," - ")</f>
        <v>437.5</v>
      </c>
      <c r="I19" s="940">
        <f>SUBTOTAL(9,I9:I18)</f>
        <v>1329</v>
      </c>
      <c r="J19" s="941">
        <f>IF(ISNUMBER(I19/B19),I19/B19," - ")</f>
        <v>664.5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3m8sR4/RwTOdibFr98eszrb292lXiXcJaNETy8F3F+dmqhpb8vXXHYDVqUuVEMZ6vjqvrhZb2BmVxeB426xgg==" saltValue="1u5bjHo47VQCvqzraDWa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MONZON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4.666666666666667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78</v>
      </c>
      <c r="AM12" s="810">
        <f>IF(ISNUMBER(Datos!N12+DatosP!N16),Datos!N12+DatosP!N16," - ")</f>
        <v>182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3.9786666666666672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2.4166666666666666E-2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123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94</v>
      </c>
      <c r="AE13" s="1085">
        <f t="shared" si="1"/>
        <v>0</v>
      </c>
      <c r="AF13" s="1085">
        <f t="shared" si="1"/>
        <v>7</v>
      </c>
      <c r="AG13" s="1085">
        <f t="shared" si="1"/>
        <v>0</v>
      </c>
      <c r="AH13" s="1085">
        <f t="shared" si="1"/>
        <v>1229</v>
      </c>
      <c r="AI13" s="1085">
        <f t="shared" si="1"/>
        <v>0</v>
      </c>
      <c r="AJ13" s="1085">
        <f t="shared" si="1"/>
        <v>0</v>
      </c>
      <c r="AK13" s="1085">
        <f t="shared" si="1"/>
        <v>0</v>
      </c>
      <c r="AL13" s="1085">
        <f t="shared" si="1"/>
        <v>81</v>
      </c>
      <c r="AM13" s="1085">
        <f t="shared" si="1"/>
        <v>182</v>
      </c>
      <c r="AN13" s="1085">
        <f t="shared" si="1"/>
        <v>0</v>
      </c>
      <c r="AO13" s="1085">
        <f t="shared" si="1"/>
        <v>0</v>
      </c>
      <c r="AP13" s="1090">
        <f>IF(ISNUMBER(((Datos!L13/Datos!K13)*11)/factor_trimestre),((Datos!L13/Datos!K13)*11)/factor_trimestre," - ")</f>
        <v>4.0769230769230766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2.4166666666666666E-2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2.3179074446680081</v>
      </c>
      <c r="AQ18" s="1090">
        <f>IF(ISNUMBER(((Datos!M18/Datos!L18)*11)/factor_trimestre),((Datos!M18/Datos!L18)*11)/factor_trimestre," - ")</f>
        <v>0.21527777777777779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7.3170731707317069E-2</v>
      </c>
      <c r="AW18" s="1092">
        <f>IF(ISNUMBER((Datos!Q18-Datos!R18)/(Datos!S18-Datos!Q18+Datos!R18)),(Datos!Q18-Datos!R18)/(Datos!S18-Datos!Q18+Datos!R18)," - ")</f>
        <v>-0.11550151975683891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123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94</v>
      </c>
      <c r="AE19" s="1103">
        <f t="shared" si="5"/>
        <v>0</v>
      </c>
      <c r="AF19" s="1104">
        <f t="shared" si="5"/>
        <v>7</v>
      </c>
      <c r="AG19" s="1104">
        <f t="shared" si="5"/>
        <v>0</v>
      </c>
      <c r="AH19" s="1104">
        <f t="shared" si="5"/>
        <v>1229</v>
      </c>
      <c r="AI19" s="1104">
        <f t="shared" si="5"/>
        <v>0</v>
      </c>
      <c r="AJ19" s="1105">
        <f t="shared" si="5"/>
        <v>0</v>
      </c>
      <c r="AK19" s="1105">
        <f t="shared" si="5"/>
        <v>0</v>
      </c>
      <c r="AL19" s="1097">
        <f t="shared" si="5"/>
        <v>81</v>
      </c>
      <c r="AM19" s="1097">
        <f t="shared" si="5"/>
        <v>182</v>
      </c>
      <c r="AN19" s="1097">
        <f t="shared" si="5"/>
        <v>0</v>
      </c>
      <c r="AO19" s="1097">
        <f t="shared" si="5"/>
        <v>0</v>
      </c>
      <c r="AP19" s="1097">
        <f>IF(ISNUMBER(((Datos!L19/Datos!K19)*11)/factor_trimestre),((Datos!L19/Datos!K19)*11)/factor_trimestre," - ")</f>
        <v>3.0615563298490129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2.4899598393574297E-2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45.066617356974994</v>
      </c>
      <c r="AM21" s="869"/>
      <c r="AN21" s="869">
        <f>IF(ISNUMBER(STDEV(AN8:AN18)),STDEV(AN8:AN18),"-")</f>
        <v>0</v>
      </c>
      <c r="AO21" s="875">
        <f>IF(ISNUMBER(STDEV(AO8:AO18)),STDEV(AO8:AO18),"-")</f>
        <v>0</v>
      </c>
      <c r="AP21" s="922">
        <f>IF(ISNUMBER(STDEV(AP8:AP18)),STDEV(AP8:AP18),"-")</f>
        <v>1.008287446395089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h128a+OGHlrhoQl0WyUZ6loM/syg3AaUdRNSH1kazVh0MFYrgAorqXJ3Ty9aVNARQSg4OCmteMu3SMSrMOkYg==" saltValue="AG3y8HZdpxozRrYBwbzv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MONZON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fbfeRm56R20fK8sYakBOMJTw8AonRfMaDeVEmIkO/6YUWhUekiiYv/LN455KhDUsKUo3OlCQy8qgTWV9WZWdw==" saltValue="7Vus9Tu//WyXWMbqHySR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MONZON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78</v>
      </c>
      <c r="E12" s="415">
        <f t="shared" si="0"/>
        <v>39</v>
      </c>
      <c r="F12" s="414">
        <f>IF(ISNUMBER(Datos!N12),Datos!N12," - ")</f>
        <v>182</v>
      </c>
      <c r="G12" s="415">
        <f t="shared" si="1"/>
        <v>91</v>
      </c>
      <c r="H12" s="414">
        <f>IF(ISNUMBER(Datos!O12),Datos!O12," - ")</f>
        <v>168</v>
      </c>
      <c r="I12" s="415">
        <f t="shared" si="2"/>
        <v>84</v>
      </c>
    </row>
    <row r="13" spans="1:9" ht="14.25" thickTop="1" thickBot="1">
      <c r="A13" s="994" t="str">
        <f>Datos!A13</f>
        <v>TOTAL</v>
      </c>
      <c r="B13" s="995">
        <f>Datos!AO13</f>
        <v>3</v>
      </c>
      <c r="C13" s="997">
        <f>Datos!AR13</f>
        <v>2</v>
      </c>
      <c r="D13" s="995">
        <f>SUBTOTAL(9,D9:D12)</f>
        <v>81</v>
      </c>
      <c r="E13" s="996">
        <f t="shared" si="0"/>
        <v>27</v>
      </c>
      <c r="F13" s="995">
        <f>SUBTOTAL(9,F9:F12)</f>
        <v>182</v>
      </c>
      <c r="G13" s="996">
        <f t="shared" si="1"/>
        <v>60.666666666666664</v>
      </c>
      <c r="H13" s="995">
        <f>SUBTOTAL(9,H9:H12)</f>
        <v>168</v>
      </c>
      <c r="I13" s="996">
        <f>IF(ISNUMBER(H13/B13),H13/B13," - ")</f>
        <v>56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43</v>
      </c>
      <c r="E16" s="415">
        <f t="shared" si="3"/>
        <v>21.5</v>
      </c>
      <c r="F16" s="414">
        <f>IF(ISNUMBER(Datos!N16),Datos!N16," - ")</f>
        <v>285</v>
      </c>
      <c r="G16" s="415">
        <f t="shared" si="4"/>
        <v>142.5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23</v>
      </c>
      <c r="G17" s="415">
        <f>IF(ISNUMBER(F17/B17),F17/B17," - ")</f>
        <v>23</v>
      </c>
      <c r="H17" s="414">
        <f>IF(ISNUMBER(Datos!O17),Datos!O17," - ")</f>
        <v>0</v>
      </c>
      <c r="I17" s="415">
        <f t="shared" si="5"/>
        <v>0</v>
      </c>
    </row>
    <row r="18" spans="1:9" ht="14.25" thickTop="1" thickBot="1">
      <c r="A18" s="994" t="str">
        <f>Datos!A18</f>
        <v>TOTAL</v>
      </c>
      <c r="B18" s="995">
        <f>Datos!AO18</f>
        <v>3</v>
      </c>
      <c r="C18" s="997">
        <f>Datos!AR18</f>
        <v>2</v>
      </c>
      <c r="D18" s="995">
        <f>SUBTOTAL(9,D15:D17)</f>
        <v>62</v>
      </c>
      <c r="E18" s="996">
        <f t="shared" si="3"/>
        <v>20.666666666666668</v>
      </c>
      <c r="F18" s="995">
        <f>SUBTOTAL(9,F15:F17)</f>
        <v>308</v>
      </c>
      <c r="G18" s="996">
        <f t="shared" si="4"/>
        <v>102.66666666666667</v>
      </c>
      <c r="H18" s="995">
        <f>SUBTOTAL(9,H15:H17)</f>
        <v>0</v>
      </c>
      <c r="I18" s="996">
        <f>IF(ISNUMBER(H18/B18),H18/B18," - ")</f>
        <v>0</v>
      </c>
    </row>
    <row r="19" spans="1:9" ht="14.25" thickTop="1" thickBot="1">
      <c r="A19" s="939" t="str">
        <f>Datos!A19</f>
        <v>TOTAL JURISDICCIONES</v>
      </c>
      <c r="B19" s="940">
        <f>Datos!AP19</f>
        <v>2</v>
      </c>
      <c r="C19" s="940">
        <f>Datos!AR19</f>
        <v>2</v>
      </c>
      <c r="D19" s="940">
        <f>SUBTOTAL(9,D8:D18)</f>
        <v>143</v>
      </c>
      <c r="E19" s="941">
        <f>IF(ISNUMBER(D19/B19),D19/B19," - ")</f>
        <v>71.5</v>
      </c>
      <c r="F19" s="940">
        <f>SUBTOTAL(9,F8:F18)</f>
        <v>490</v>
      </c>
      <c r="G19" s="941">
        <f>IF(ISNUMBER(F19/B19),F19/B19," - ")</f>
        <v>245</v>
      </c>
      <c r="H19" s="940">
        <f>SUBTOTAL(9,H8:H18)</f>
        <v>168</v>
      </c>
      <c r="I19" s="941">
        <f>IF(ISNUMBER(H19/B19),H19/B19," - ")</f>
        <v>84</v>
      </c>
    </row>
    <row r="22" spans="1:9">
      <c r="A22" s="402" t="str">
        <f>Criterios!A4</f>
        <v>Fecha Informe: 29 nov. 2023</v>
      </c>
    </row>
    <row r="27" spans="1:9">
      <c r="A27" s="425"/>
    </row>
  </sheetData>
  <sheetProtection algorithmName="SHA-512" hashValue="I0Q7G6LbiGZAgaG0x0mVjFImXU6MQBLbczBoDgN4ReYYbRpjV4gdgySCfkH7/JUpOUB6eQRRwBpTU4vu0tUwyw==" saltValue="6XguLeHZacxd2cbEaZMp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MONZON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123</v>
      </c>
      <c r="C12" s="450">
        <f>IF(ISNUMBER(Datos!Q12),Datos!Q12," - ")</f>
        <v>94</v>
      </c>
      <c r="D12" s="419">
        <f>IF(ISNUMBER(Datos!R12),Datos!R12," - ")</f>
        <v>1229</v>
      </c>
    </row>
    <row r="13" spans="1:4" ht="14.25" thickTop="1" thickBot="1">
      <c r="A13" s="994" t="str">
        <f>Datos!A13</f>
        <v>TOTAL</v>
      </c>
      <c r="B13" s="995">
        <f>SUBTOTAL(9,B9:B12)</f>
        <v>123</v>
      </c>
      <c r="C13" s="999">
        <f>SUBTOTAL(9,C9:C12)</f>
        <v>95</v>
      </c>
      <c r="D13" s="997">
        <f>SUBTOTAL(9,D9:D12)</f>
        <v>1232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6</v>
      </c>
      <c r="D16" s="419">
        <f>IF(ISNUMBER(Datos!R16),Datos!R16," - ")</f>
        <v>42</v>
      </c>
    </row>
    <row r="17" spans="1:4" ht="13.5" thickBot="1">
      <c r="A17" s="413" t="str">
        <f>Datos!A17</f>
        <v>Jdos. Violencia contra la mujer</v>
      </c>
      <c r="B17" s="449">
        <f>IF(ISNUMBER(Datos!P17),Datos!P17," - ")</f>
        <v>1</v>
      </c>
      <c r="C17" s="450">
        <f>IF(ISNUMBER(Datos!Q17),Datos!Q17," - ")</f>
        <v>0</v>
      </c>
      <c r="D17" s="419">
        <f>IF(ISNUMBER(Datos!R17),Datos!R17," - ")</f>
        <v>2</v>
      </c>
    </row>
    <row r="18" spans="1:4" ht="14.25" thickTop="1" thickBot="1">
      <c r="A18" s="994" t="str">
        <f>Datos!A18</f>
        <v>TOTAL</v>
      </c>
      <c r="B18" s="995">
        <f>SUBTOTAL(9,B15:B17)</f>
        <v>9</v>
      </c>
      <c r="C18" s="999">
        <f>SUBTOTAL(9,C15:C17)</f>
        <v>6</v>
      </c>
      <c r="D18" s="997">
        <f>SUBTOTAL(9,D15:D17)</f>
        <v>44</v>
      </c>
    </row>
    <row r="19" spans="1:4" ht="16.5" customHeight="1" thickTop="1" thickBot="1">
      <c r="A19" s="939" t="str">
        <f>Datos!A19</f>
        <v>TOTAL JURISDICCIONES</v>
      </c>
      <c r="B19" s="944">
        <f>SUBTOTAL(9,B8:B18)</f>
        <v>132</v>
      </c>
      <c r="C19" s="945">
        <f>SUBTOTAL(9,C8:C18)</f>
        <v>101</v>
      </c>
      <c r="D19" s="946">
        <f>SUBTOTAL(9,D8:D18)</f>
        <v>1276</v>
      </c>
    </row>
    <row r="20" spans="1:4" ht="7.5" customHeight="1"/>
    <row r="21" spans="1:4" ht="6" customHeight="1"/>
    <row r="22" spans="1:4">
      <c r="A22" s="402" t="str">
        <f>Criterios!A4</f>
        <v>Fecha Informe: 29 nov. 2023</v>
      </c>
    </row>
    <row r="27" spans="1:4">
      <c r="A27" s="425"/>
    </row>
  </sheetData>
  <sheetProtection algorithmName="SHA-512" hashValue="4/NnSKjo3jzQSdr1akM/59XZAtgQCYyDV/qD+RU6Y2Z2vXQ22P/n3UPrQfTGZ612sxp4WZdPnj9w/G5JAi9BOA==" saltValue="g6qZT+UNi2eELANm2jDJ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MONZON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-0.2</v>
      </c>
      <c r="D10" s="472">
        <f>IF(ISNUMBER((Datos!K10-Datos!U10)/Datos!U10),(Datos!K10-Datos!U10)/Datos!U10," - ")</f>
        <v>-0.5</v>
      </c>
      <c r="E10" s="472">
        <f>IF(ISNUMBER((Datos!L10-Datos!V10)/Datos!V10),(Datos!L10-Datos!V10)/Datos!V10," - ")</f>
        <v>0</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-0.375</v>
      </c>
      <c r="I10" s="472">
        <f>IF(ISNUMBER(((NºAsuntos!I10/NºAsuntos!G10)-Datos!BE10)/Datos!BE10),((NºAsuntos!I10/NºAsuntos!G10)-Datos!BE10)/Datos!BE10," - ")</f>
        <v>1</v>
      </c>
      <c r="J10" s="477">
        <f>IF(ISNUMBER((('Resol  Asuntos'!D10/NºAsuntos!G10)-Datos!BF10)/Datos!BF10),(('Resol  Asuntos'!D10/NºAsuntos!G10)-Datos!BF10)/Datos!BF10," - ")</f>
        <v>1</v>
      </c>
      <c r="K10" s="478">
        <f>IF(ISNUMBER((((NºAsuntos!C10+NºAsuntos!E10)/NºAsuntos!G10)-Datos!BG10)/Datos!BG10),(((NºAsuntos!C10+NºAsuntos!E10)/NºAsuntos!G10)-Datos!BG10)/Datos!BG10," - ")</f>
        <v>0.53846153846153866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0.49674620390455532</v>
      </c>
      <c r="C12" s="472">
        <f>IF(ISNUMBER(
   IF(J_V="SI",(Datos!J12-Datos!T12)/Datos!T12,(Datos!J12+Datos!Z12-(Datos!T12+Datos!AH12))/(Datos!T12+Datos!AH12))
     ),IF(J_V="SI",(Datos!J12-Datos!T12)/Datos!T12,(Datos!J12+Datos!Z12-(Datos!T12+Datos!AH12))/(Datos!T12+Datos!AH12))," - ")</f>
        <v>0.40397350993377484</v>
      </c>
      <c r="D12" s="472">
        <f>IF(ISNUMBER(
   IF(J_V="SI",(Datos!K12-Datos!U12)/Datos!U12,(Datos!K12+Datos!AA12-(Datos!U12+Datos!AI12))/(Datos!U12+Datos!AI12))
     ),IF(J_V="SI",(Datos!K12-Datos!U12)/Datos!U12,(Datos!K12+Datos!AA12-(Datos!U12+Datos!AI12))/(Datos!U12+Datos!AI12))," - ")</f>
        <v>0.26689189189189189</v>
      </c>
      <c r="E12" s="472">
        <f>IF(ISNUMBER(
   IF(J_V="SI",(Datos!L12-Datos!V12)/Datos!V12,(Datos!L12+Datos!AB12-(Datos!V12+Datos!AJ12))/(Datos!V12+Datos!AJ12))
     ),IF(J_V="SI",(Datos!L12-Datos!V12)/Datos!V12,(Datos!L12+Datos!AB12-(Datos!V12+Datos!AJ12))/(Datos!V12+Datos!AJ12))," - ")</f>
        <v>0.59743040685224835</v>
      </c>
      <c r="F12" s="472">
        <f>IF(ISNUMBER((Datos!M12-Datos!W12)/Datos!W12),(Datos!M12-Datos!W12)/Datos!W12," - ")</f>
        <v>0.2</v>
      </c>
      <c r="G12" s="473">
        <f>IF(ISNUMBER((Datos!N12-Datos!X12)/Datos!X12),(Datos!N12-Datos!X12)/Datos!X12," - ")</f>
        <v>0.32846715328467152</v>
      </c>
      <c r="H12" s="471">
        <f>IF(ISNUMBER(((NºAsuntos!G12/NºAsuntos!E12)-Datos!BD12)/Datos!BD12),((NºAsuntos!G12/NºAsuntos!E12)-Datos!BD12)/Datos!BD12," - ")</f>
        <v>-9.7638322284548704E-2</v>
      </c>
      <c r="I12" s="472">
        <f>IF(ISNUMBER(((NºAsuntos!I12/NºAsuntos!G12)-Datos!BE12)/Datos!BE12),((NºAsuntos!I12/NºAsuntos!G12)-Datos!BE12)/Datos!BE12," - ")</f>
        <v>0.26090506780870815</v>
      </c>
      <c r="J12" s="477">
        <f>IF(ISNUMBER((('Resol  Asuntos'!D12/NºAsuntos!G12)-Datos!BF12)/Datos!BF12),(('Resol  Asuntos'!D12/NºAsuntos!G12)-Datos!BF12)/Datos!BF12," - ")</f>
        <v>-0.55059854014598553</v>
      </c>
      <c r="K12" s="478">
        <f>IF(ISNUMBER((((NºAsuntos!C12+NºAsuntos!E12)/NºAsuntos!G12)-Datos!BG12)/Datos!BG12),(((NºAsuntos!C12+NºAsuntos!E12)/NºAsuntos!G12)-Datos!BG12)/Datos!BG12," - ")</f>
        <v>0.15244735692442121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0.48400852878464817</v>
      </c>
      <c r="C13" s="1001">
        <f>IF(ISNUMBER(
   IF(J_V="SI",(Datos!J13-Datos!T13)/Datos!T13,(Datos!J13+Datos!Z13-(Datos!T13+Datos!AH13))/(Datos!T13+Datos!AH13))
     ),IF(J_V="SI",(Datos!J13-Datos!T13)/Datos!T13,(Datos!J13+Datos!Z13-(Datos!T13+Datos!AH13))/(Datos!T13+Datos!AH13))," - ")</f>
        <v>0.39413680781758959</v>
      </c>
      <c r="D13" s="1001">
        <f>IF(ISNUMBER(
   IF(J_V="SI",(Datos!K13-Datos!U13)/Datos!U13,(Datos!K13+Datos!AA13-(Datos!U13+Datos!AI13))/(Datos!U13+Datos!AI13))
     ),IF(J_V="SI",(Datos!K13-Datos!U13)/Datos!U13,(Datos!K13+Datos!AA13-(Datos!U13+Datos!AI13))/(Datos!U13+Datos!AI13))," - ")</f>
        <v>0.25165562913907286</v>
      </c>
      <c r="E13" s="1001">
        <f>IF(ISNUMBER(
   IF(J_V="SI",(Datos!L13-Datos!V13)/Datos!V13,(Datos!L13+Datos!AB13-(Datos!V13+Datos!AJ13))/(Datos!V13+Datos!AJ13))
     ),IF(J_V="SI",(Datos!L13-Datos!V13)/Datos!V13,(Datos!L13+Datos!AB13-(Datos!V13+Datos!AJ13))/(Datos!V13+Datos!AJ13))," - ")</f>
        <v>0.58860759493670889</v>
      </c>
      <c r="F13" s="1002">
        <f>IF(ISNUMBER((Datos!M13-Datos!W13)/Datos!W13),(Datos!M13-Datos!W13)/Datos!W13," - ")</f>
        <v>0.19117647058823528</v>
      </c>
      <c r="G13" s="1003">
        <f>IF(ISNUMBER((Datos!N13-Datos!X13)/Datos!X13),(Datos!N13-Datos!X13)/Datos!X13," - ")</f>
        <v>0.30935251798561153</v>
      </c>
      <c r="H13" s="1003">
        <f>IF(ISNUMBER(((NºAsuntos!G13/NºAsuntos!E13)-Datos!BD13)/Datos!BD13),((NºAsuntos!G13/NºAsuntos!E13)-Datos!BD13)/Datos!BD13," - ")</f>
        <v>-0.10220028470631919</v>
      </c>
      <c r="I13" s="1003">
        <f>IF(ISNUMBER(((NºAsuntos!I13/NºAsuntos!G13)-Datos!BE13)/Datos!BE13),((NºAsuntos!I13/NºAsuntos!G13)-Datos!BE13)/Datos!BE13," - ")</f>
        <v>0.26920500971133882</v>
      </c>
      <c r="J13" s="1003">
        <f>IF(ISNUMBER((('Resol  Asuntos'!D13/NºAsuntos!G13)-Datos!BF13)/Datos!BF13),(('Resol  Asuntos'!D13/NºAsuntos!G13)-Datos!BF13)/Datos!BF13," - ")</f>
        <v>-0.53775510204081634</v>
      </c>
      <c r="K13" s="1003">
        <f>IF(ISNUMBER((((NºAsuntos!C13+NºAsuntos!E13)/NºAsuntos!G13)-Datos!BG13)/Datos!BG13),(((NºAsuntos!C13+NºAsuntos!E13)/NºAsuntos!G13)-Datos!BG13)/Datos!BG13," - ")</f>
        <v>0.15723013145693565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0.48375451263537905</v>
      </c>
      <c r="C16" s="472">
        <f>IF(ISNUMBER(
   IF(D_I="SI",(Datos!J16-Datos!T16)/Datos!T16,(Datos!J16+Datos!AD16-(Datos!T16+Datos!AL16))/(Datos!T16+Datos!AL16))
     ),IF(D_I="SI",(Datos!J16-Datos!T16)/Datos!T16,(Datos!J16+Datos!AD16-(Datos!T16+Datos!AL16))/(Datos!T16+Datos!AL16))," - ")</f>
        <v>0.25178147268408552</v>
      </c>
      <c r="D16" s="472">
        <f>IF(ISNUMBER(
   IF(D_I="SI",(Datos!K16-Datos!U16)/Datos!U16,(Datos!K16+Datos!AE16-(Datos!U16+Datos!AM16))/(Datos!U16+Datos!AM16))
     ),IF(D_I="SI",(Datos!K16-Datos!U16)/Datos!U16,(Datos!K16+Datos!AE16-(Datos!U16+Datos!AM16))/(Datos!U16+Datos!AM16))," - ")</f>
        <v>0.18817204301075269</v>
      </c>
      <c r="E16" s="472">
        <f>IF(ISNUMBER(
   IF(D_I="SI",(Datos!L16-Datos!V16)/Datos!V16,(Datos!L16+Datos!AF16-(Datos!V16+Datos!AN16))/(Datos!V16+Datos!AN16))
     ),IF(D_I="SI",(Datos!L16-Datos!V16)/Datos!V16,(Datos!L16+Datos!AF16-(Datos!V16+Datos!AN16))/(Datos!V16+Datos!AN16))," - ")</f>
        <v>0.61349693251533743</v>
      </c>
      <c r="F16" s="472">
        <f>IF(ISNUMBER((Datos!M16-Datos!W16)/Datos!W16),(Datos!M16-Datos!W16)/Datos!W16," - ")</f>
        <v>0.13157894736842105</v>
      </c>
      <c r="G16" s="473">
        <f>IF(ISNUMBER((Datos!N16-Datos!X16)/Datos!X16),(Datos!N16-Datos!X16)/Datos!X16," - ")</f>
        <v>0.26666666666666666</v>
      </c>
      <c r="H16" s="471">
        <f>IF(ISNUMBER(((NºAsuntos!G16/NºAsuntos!E16)-Datos!BD16)/Datos!BD16),((NºAsuntos!G16/NºAsuntos!E16)-Datos!BD16)/Datos!BD16," - ")</f>
        <v>-5.0815123135622517E-2</v>
      </c>
      <c r="I16" s="472">
        <f>IF(ISNUMBER(((NºAsuntos!I16/NºAsuntos!G16)-Datos!BE16)/Datos!BE16),((NºAsuntos!I16/NºAsuntos!G16)-Datos!BE16)/Datos!BE16," - ")</f>
        <v>0.35796574410793103</v>
      </c>
      <c r="J16" s="477">
        <f>IF(ISNUMBER((('Resol  Asuntos'!D16/NºAsuntos!G16)-Datos!BF16)/Datos!BF16),(('Resol  Asuntos'!D16/NºAsuntos!G16)-Datos!BF16)/Datos!BF16," - ")</f>
        <v>-4.7630388187663776E-2</v>
      </c>
      <c r="K16" s="478">
        <f>IF(ISNUMBER((((NºAsuntos!C16+NºAsuntos!E16)/NºAsuntos!G16)-Datos!BG16)/Datos!BG16),(((NºAsuntos!C16+NºAsuntos!E16)/NºAsuntos!G16)-Datos!BG16)/Datos!BG16," - ")</f>
        <v>0.13101427478639677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1.9285714285714286</v>
      </c>
      <c r="C17" s="472">
        <f>IF(ISNUMBER(
   IF(D_I="SI",(Datos!J17-Datos!T17)/Datos!T17,(Datos!J17+Datos!AD17-(Datos!T17+Datos!AL17))/(Datos!T17+Datos!AL17))
     ),IF(D_I="SI",(Datos!J17-Datos!T17)/Datos!T17,(Datos!J17+Datos!AD17-(Datos!T17+Datos!AL17))/(Datos!T17+Datos!AL17))," - ")</f>
        <v>0.20754716981132076</v>
      </c>
      <c r="D17" s="472">
        <f>IF(ISNUMBER(
   IF(D_I="SI",(Datos!K17-Datos!U17)/Datos!U17,(Datos!K17+Datos!AE17-(Datos!U17+Datos!AM17))/(Datos!U17+Datos!AM17))
     ),IF(D_I="SI",(Datos!K17-Datos!U17)/Datos!U17,(Datos!K17+Datos!AE17-(Datos!U17+Datos!AM17))/(Datos!U17+Datos!AM17))," - ")</f>
        <v>1.8518518518518517E-2</v>
      </c>
      <c r="E17" s="472">
        <f>IF(ISNUMBER(
   IF(D_I="SI",(Datos!L17-Datos!V17)/Datos!V17,(Datos!L17+Datos!AF17-(Datos!V17+Datos!AN17))/(Datos!V17+Datos!AN17))
     ),IF(D_I="SI",(Datos!L17-Datos!V17)/Datos!V17,(Datos!L17+Datos!AF17-(Datos!V17+Datos!AN17))/(Datos!V17+Datos!AN17))," - ")</f>
        <v>2.8461538461538463</v>
      </c>
      <c r="F17" s="472">
        <f>IF(ISNUMBER((Datos!M17-Datos!W17)/Datos!W17),(Datos!M17-Datos!W17)/Datos!W17," - ")</f>
        <v>0.35714285714285715</v>
      </c>
      <c r="G17" s="473">
        <f>IF(ISNUMBER((Datos!N17-Datos!X17)/Datos!X17),(Datos!N17-Datos!X17)/Datos!X17," - ")</f>
        <v>-0.11538461538461539</v>
      </c>
      <c r="H17" s="471">
        <f>IF(ISNUMBER(((NºAsuntos!G17/NºAsuntos!E17)-Datos!BD17)/Datos!BD17),((NºAsuntos!G17/NºAsuntos!E17)-Datos!BD17)/Datos!BD17," - ")</f>
        <v>-0.15653935185185186</v>
      </c>
      <c r="I17" s="472">
        <f>IF(ISNUMBER(((NºAsuntos!I17/NºAsuntos!G17)-Datos!BE17)/Datos!BE17),((NºAsuntos!I17/NºAsuntos!G17)-Datos!BE17)/Datos!BE17," - ")</f>
        <v>2.7762237762237763</v>
      </c>
      <c r="J17" s="477">
        <f>IF(ISNUMBER((('Resol  Asuntos'!D17/NºAsuntos!G17)-Datos!BF17)/Datos!BF17),(('Resol  Asuntos'!D17/NºAsuntos!G17)-Datos!BF17)/Datos!BF17," - ")</f>
        <v>0.33246753246753258</v>
      </c>
      <c r="K17" s="478">
        <f>IF(ISNUMBER((((NºAsuntos!C17+NºAsuntos!E17)/NºAsuntos!G17)-Datos!BG17)/Datos!BG17),(((NºAsuntos!C17+NºAsuntos!E17)/NºAsuntos!G17)-Datos!BG17)/Datos!BG17," - ")</f>
        <v>0.53867028493894176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0.5532646048109966</v>
      </c>
      <c r="C18" s="1001">
        <f>IF(ISNUMBER(
   IF(Criterios!B14="SI",(Datos!J18-Datos!T18)/Datos!T18,(Datos!J18+Datos!AD18-(Datos!T18+Datos!AL18))/(Datos!T18+Datos!AL18))
     ),IF(Criterios!B14="SI",(Datos!J18-Datos!T18)/Datos!T18,(Datos!J18+Datos!AD18-(Datos!T18+Datos!AL18))/(Datos!T18+Datos!AL18))," - ")</f>
        <v>0.24683544303797469</v>
      </c>
      <c r="D18" s="1001">
        <f>IF(ISNUMBER(
   IF(Criterios!B14="SI",(Datos!K18-Datos!U18)/Datos!U18,(Datos!K18+Datos!AE18-(Datos!U18+Datos!AM18))/(Datos!U18+Datos!AM18))
     ),IF(Criterios!B14="SI",(Datos!K18-Datos!U18)/Datos!U18,(Datos!K18+Datos!AE18-(Datos!U18+Datos!AM18))/(Datos!U18+Datos!AM18))," - ")</f>
        <v>0.16666666666666666</v>
      </c>
      <c r="E18" s="1001">
        <f>IF(ISNUMBER(
   IF(Criterios!B14="SI",(Datos!L18-Datos!V18)/Datos!V18,(Datos!L18+Datos!AF18-(Datos!V18+Datos!AN18))/(Datos!V18+Datos!AN18))
     ),IF(Criterios!B14="SI",(Datos!L18-Datos!V18)/Datos!V18,(Datos!L18+Datos!AF18-(Datos!V18+Datos!AN18))/(Datos!V18+Datos!AN18))," - ")</f>
        <v>0.69911504424778759</v>
      </c>
      <c r="F18" s="1002">
        <f>IF(ISNUMBER((Datos!M18-Datos!W18)/Datos!W18),(Datos!M18-Datos!W18)/Datos!W18," - ")</f>
        <v>0.19230769230769232</v>
      </c>
      <c r="G18" s="1003">
        <f>IF(ISNUMBER((Datos!N18-Datos!X18)/Datos!X18),(Datos!N18-Datos!X18)/Datos!X18," - ")</f>
        <v>0.22709163346613545</v>
      </c>
      <c r="H18" s="1003">
        <f>IF(ISNUMBER(((NºAsuntos!G18/NºAsuntos!E18)-Datos!BD18)/Datos!BD18),((NºAsuntos!G18/NºAsuntos!E18)-Datos!BD18)/Datos!BD18," - ")</f>
        <v>-6.4297800338409483E-2</v>
      </c>
      <c r="I18" s="1003">
        <f>IF(ISNUMBER(((NºAsuntos!I18/NºAsuntos!G18)-Datos!BE18)/Datos!BE18),((NºAsuntos!I18/NºAsuntos!G18)-Datos!BE18)/Datos!BE18," - ")</f>
        <v>0.45638432364096077</v>
      </c>
      <c r="J18" s="1003">
        <f>IF(ISNUMBER((('Resol  Asuntos'!D18/NºAsuntos!G18)-Datos!BF18)/Datos!BF18),(('Resol  Asuntos'!D18/NºAsuntos!G18)-Datos!BF18)/Datos!BF18," - ")</f>
        <v>2.1978021978021969E-2</v>
      </c>
      <c r="K18" s="1003">
        <f>IF(ISNUMBER((((NºAsuntos!C18+NºAsuntos!E18)/NºAsuntos!G18)-Datos!BG18)/Datos!BG18),(((NºAsuntos!C18+NºAsuntos!E18)/NºAsuntos!G18)-Datos!BG18)/Datos!BG18," - ")</f>
        <v>0.16862745098039206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0.51052631578947372</v>
      </c>
      <c r="C19" s="948">
        <f>IF(ISNUMBER(
   IF(J_V="SI",(Datos!J19-Datos!T19)/Datos!T19,(Datos!J19+Datos!Z19-(Datos!T19+Datos!AH19))/(Datos!T19+Datos!AH19))
     ),IF(J_V="SI",(Datos!J19-Datos!T19)/Datos!T19,(Datos!J19+Datos!Z19-(Datos!T19+Datos!AH19))/(Datos!T19+Datos!AH19))," - ")</f>
        <v>0.30473751600512161</v>
      </c>
      <c r="D19" s="948">
        <f>IF(ISNUMBER(
   IF(J_V="SI",(Datos!K19-Datos!U19)/Datos!U19,(Datos!K19+Datos!AA19-(Datos!U19+Datos!AI19))/(Datos!U19+Datos!AI19))
     ),IF(J_V="SI",(Datos!K19-Datos!U19)/Datos!U19,(Datos!K19+Datos!AA19-(Datos!U19+Datos!AI19))/(Datos!U19+Datos!AI19))," - ")</f>
        <v>0.20192307692307693</v>
      </c>
      <c r="E19" s="948">
        <f>IF(ISNUMBER(
   IF(J_V="SI",(Datos!L19-Datos!V19)/Datos!V19,(Datos!L19+Datos!AB19-(Datos!V19+Datos!AJ19))/(Datos!V19+Datos!AJ19))
     ),IF(J_V="SI",(Datos!L19-Datos!V19)/Datos!V19,(Datos!L19+Datos!AB19-(Datos!V19+Datos!AJ19))/(Datos!V19+Datos!AJ19))," - ")</f>
        <v>0.63468634686346859</v>
      </c>
      <c r="F19" s="949">
        <f>IF(ISNUMBER((Datos!M19-Datos!W19)/Datos!W19),(Datos!M19-Datos!W19)/Datos!W19," - ")</f>
        <v>0.19166666666666668</v>
      </c>
      <c r="G19" s="950">
        <f>IF(ISNUMBER((Datos!N19-Datos!X19)/Datos!X19),(Datos!N19-Datos!X19)/Datos!X19," - ")</f>
        <v>0.25641025641025639</v>
      </c>
      <c r="H19" s="951">
        <f>IF(ISNUMBER((Tasas!B19-Datos!BD19)/Datos!BD19),(Tasas!B19-Datos!BD19)/Datos!BD19," - ")</f>
        <v>-7.8800860572205075E-2</v>
      </c>
      <c r="I19" s="952">
        <f>IF(ISNUMBER((Tasas!C19-Datos!BE19)/Datos!BE19),(Tasas!C19-Datos!BE19)/Datos!BE19," - ")</f>
        <v>0.36005904059040589</v>
      </c>
      <c r="J19" s="953">
        <f>IF(ISNUMBER((Tasas!D19-Datos!BF19)/Datos!BF19),(Tasas!D19-Datos!BF19)/Datos!BF19," - ")</f>
        <v>-0.38033333333333336</v>
      </c>
      <c r="K19" s="953">
        <f>IF(ISNUMBER((Tasas!E19-Datos!BG19)/Datos!BG19),(Tasas!E19-Datos!BG19)/Datos!BG19," - ")</f>
        <v>0.16998312783906547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atelwiwQo8lDe5Rki9r9iS4w6WL6TJNFJB5OMkuHbQ3HezU6FrDM1Yd0R8uRkLeVVw/0DmqU6IETFQXe+bb5Q==" saltValue="ggAsSi5p8VTs5bvgPRxa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MONZON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2.3333333333333335</v>
      </c>
      <c r="D10" s="460">
        <f>IF(ISNUMBER('Resol  Asuntos'!D10/NºAsuntos!G10),'Resol  Asuntos'!D10/NºAsuntos!G10," - ")</f>
        <v>1</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0.88443396226415094</v>
      </c>
      <c r="C12" s="459">
        <f>IF(ISNUMBER(NºAsuntos!I12/NºAsuntos!G12),NºAsuntos!I12/NºAsuntos!G12," - ")</f>
        <v>1.9893333333333334</v>
      </c>
      <c r="D12" s="460">
        <f>IF(ISNUMBER('Resol  Asuntos'!D12/NºAsuntos!G12),'Resol  Asuntos'!D12/NºAsuntos!G12," - ")</f>
        <v>0.20799999999999999</v>
      </c>
      <c r="E12" s="461">
        <f>IF(ISNUMBER((NºAsuntos!C12+NºAsuntos!E12)/NºAsuntos!G12),(NºAsuntos!C12+NºAsuntos!E12)/NºAsuntos!G12," - ")</f>
        <v>2.9706666666666668</v>
      </c>
      <c r="G12" s="479"/>
    </row>
    <row r="13" spans="1:7" ht="14.25" thickTop="1" thickBot="1">
      <c r="A13" s="994" t="str">
        <f>Datos!A13</f>
        <v>TOTAL</v>
      </c>
      <c r="B13" s="1004">
        <f>IF(ISNUMBER(NºAsuntos!G13/NºAsuntos!E13),NºAsuntos!G13/NºAsuntos!E13," - ")</f>
        <v>0.88317757009345799</v>
      </c>
      <c r="C13" s="1005">
        <f>IF(ISNUMBER(NºAsuntos!I13/NºAsuntos!G13),NºAsuntos!I13/NºAsuntos!G13," - ")</f>
        <v>1.9920634920634921</v>
      </c>
      <c r="D13" s="1006">
        <f>IF(ISNUMBER('Resol  Asuntos'!D13/NºAsuntos!G13),'Resol  Asuntos'!D13/NºAsuntos!G13," - ")</f>
        <v>0.21428571428571427</v>
      </c>
      <c r="E13" s="1007">
        <f>IF(ISNUMBER((NºAsuntos!C13+NºAsuntos!E13)/NºAsuntos!G13),(NºAsuntos!C13+NºAsuntos!E13)/NºAsuntos!G13," - ")</f>
        <v>2.9735449735449735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0.83870967741935487</v>
      </c>
      <c r="C16" s="459">
        <f>IF(ISNUMBER(NºAsuntos!I16/NºAsuntos!G16),NºAsuntos!I16/NºAsuntos!G16," - ")</f>
        <v>1.1900452488687783</v>
      </c>
      <c r="D16" s="460">
        <f>IF(ISNUMBER('Resol  Asuntos'!D16/NºAsuntos!G16),'Resol  Asuntos'!D16/NºAsuntos!G16," - ")</f>
        <v>9.7285067873303169E-2</v>
      </c>
      <c r="E16" s="461">
        <f>IF(ISNUMBER((NºAsuntos!C16+NºAsuntos!E16)/NºAsuntos!G16),(NºAsuntos!C16+NºAsuntos!E16)/NºAsuntos!G16," - ")</f>
        <v>2.1221719457013575</v>
      </c>
      <c r="G16" s="479"/>
    </row>
    <row r="17" spans="1:7" ht="13.5" thickBot="1">
      <c r="A17" s="413" t="str">
        <f>Datos!A17</f>
        <v>Jdos. Violencia contra la mujer</v>
      </c>
      <c r="B17" s="458">
        <f>IF(ISNUMBER(NºAsuntos!G17/NºAsuntos!E17),NºAsuntos!G17/NºAsuntos!E17," - ")</f>
        <v>0.859375</v>
      </c>
      <c r="C17" s="459">
        <f>IF(ISNUMBER(NºAsuntos!I17/NºAsuntos!G17),NºAsuntos!I17/NºAsuntos!G17," - ")</f>
        <v>0.90909090909090906</v>
      </c>
      <c r="D17" s="460">
        <f>IF(ISNUMBER('Resol  Asuntos'!D17/NºAsuntos!G17),'Resol  Asuntos'!D17/NºAsuntos!G17," - ")</f>
        <v>0.34545454545454546</v>
      </c>
      <c r="E17" s="461">
        <f>IF(ISNUMBER((NºAsuntos!C17+NºAsuntos!E17)/NºAsuntos!G17),(NºAsuntos!C17+NºAsuntos!E17)/NºAsuntos!G17," - ")</f>
        <v>1.9090909090909092</v>
      </c>
      <c r="G17" s="479"/>
    </row>
    <row r="18" spans="1:7" ht="14.25" thickTop="1" thickBot="1">
      <c r="A18" s="994" t="str">
        <f>Datos!A18</f>
        <v>TOTAL</v>
      </c>
      <c r="B18" s="1004">
        <f>IF(ISNUMBER(NºAsuntos!G18/NºAsuntos!E18),NºAsuntos!G18/NºAsuntos!E18," - ")</f>
        <v>0.84094754653130288</v>
      </c>
      <c r="C18" s="1005">
        <f>IF(ISNUMBER(NºAsuntos!I18/NºAsuntos!G18),NºAsuntos!I18/NºAsuntos!G18," - ")</f>
        <v>1.1589537223340041</v>
      </c>
      <c r="D18" s="1008">
        <f>IF(ISNUMBER('Resol  Asuntos'!D18/NºAsuntos!G18),'Resol  Asuntos'!D18/NºAsuntos!G18," - ")</f>
        <v>0.12474849094567404</v>
      </c>
      <c r="E18" s="1007">
        <f>IF(ISNUMBER((NºAsuntos!C18+NºAsuntos!E18)/NºAsuntos!G18),(NºAsuntos!C18+NºAsuntos!E18)/NºAsuntos!G18," - ")</f>
        <v>2.0985915492957745</v>
      </c>
      <c r="G18" s="479"/>
    </row>
    <row r="19" spans="1:7" ht="15.75" customHeight="1" thickTop="1" thickBot="1">
      <c r="A19" s="939" t="str">
        <f>Datos!A19</f>
        <v>TOTAL JURISDICCIONES</v>
      </c>
      <c r="B19" s="954">
        <f>IF(ISNUMBER(NºAsuntos!G19/NºAsuntos!E19),NºAsuntos!G19/NºAsuntos!E19," - ")</f>
        <v>0.85868498527968595</v>
      </c>
      <c r="C19" s="955">
        <f>IF(ISNUMBER(NºAsuntos!I19/NºAsuntos!G19),NºAsuntos!I19/NºAsuntos!G19," - ")</f>
        <v>1.5188571428571429</v>
      </c>
      <c r="D19" s="956">
        <f>IF(ISNUMBER('Resol  Asuntos'!D19/NºAsuntos!G19),'Resol  Asuntos'!D19/NºAsuntos!G19," - ")</f>
        <v>0.16342857142857142</v>
      </c>
      <c r="E19" s="957">
        <f>IF(ISNUMBER((NºAsuntos!C19+NºAsuntos!E19)/NºAsuntos!G19),(NºAsuntos!C19+NºAsuntos!E19)/NºAsuntos!G19," - ")</f>
        <v>2.4765714285714284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8srBXqNumXxqgyofOIQZijfS4wDvDpOywgatPyAaoI3yHd0N1ZQt/8LnpyJCHkE26TLgienJ2/qt3eU26XcVg==" saltValue="ywNj+k5syft6j1NAjINB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MONZON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1</v>
      </c>
      <c r="Y10" s="343">
        <f t="shared" ref="Y10:Y12" si="0">SUM(W10:X10)</f>
        <v>4</v>
      </c>
      <c r="Z10" s="344" t="str">
        <f>IF(ISNUMBER(Datos!CC10),Datos!CC10," - ")</f>
        <v xml:space="preserve"> - </v>
      </c>
      <c r="AA10" s="341">
        <f>IF(ISNUMBER(Datos!L10),Datos!L10,"-")</f>
        <v>7</v>
      </c>
      <c r="AB10" s="343">
        <f>IF(ISNUMBER(Datos!R10),Datos!R10," - ")</f>
        <v>3</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4.666666666666667</v>
      </c>
      <c r="AN10" s="248">
        <f>IF(ISNUMBER('Resol  Asuntos'!D10/NºAsuntos!G10),'Resol  Asuntos'!D10/NºAsuntos!G10," - ")</f>
        <v>1</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94</v>
      </c>
      <c r="Y12" s="343">
        <f t="shared" si="0"/>
        <v>94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78</v>
      </c>
      <c r="AJ12" s="233" t="str">
        <f>IF(ISNUMBER(Datos!BW12),Datos!BW12," - ")</f>
        <v xml:space="preserve"> - </v>
      </c>
      <c r="AK12" s="232" t="str">
        <f>IF(ISNUMBER(Datos!BX12),Datos!BX12," - ")</f>
        <v xml:space="preserve"> - </v>
      </c>
      <c r="AL12" s="247">
        <f>IF(ISNUMBER(NºAsuntos!G12/NºAsuntos!E12),NºAsuntos!G12/NºAsuntos!E12," - ")</f>
        <v>0.88443396226415094</v>
      </c>
      <c r="AM12" s="264">
        <f>IF(ISNUMBER(((NºAsuntos!I12/NºAsuntos!G12)*11)/factor_trimestre),((NºAsuntos!I12/NºAsuntos!G12)*11)/factor_trimestre," - ")</f>
        <v>3.9786666666666672</v>
      </c>
      <c r="AN12" s="248">
        <f>IF(ISNUMBER('Resol  Asuntos'!D12/NºAsuntos!G12),'Resol  Asuntos'!D12/NºAsuntos!G12," - ")</f>
        <v>0.20799999999999999</v>
      </c>
      <c r="AO12" s="249">
        <f>IF(ISNUMBER((NºAsuntos!C12+NºAsuntos!E12)/NºAsuntos!G12),(NºAsuntos!C12+NºAsuntos!E12)/NºAsuntos!G12," - ")</f>
        <v>2.9706666666666668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123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95</v>
      </c>
      <c r="Y13" s="1014">
        <f t="shared" si="4"/>
        <v>98</v>
      </c>
      <c r="Z13" s="1014">
        <f t="shared" si="4"/>
        <v>0</v>
      </c>
      <c r="AA13" s="1014">
        <f t="shared" si="4"/>
        <v>7</v>
      </c>
      <c r="AB13" s="1014">
        <f t="shared" si="4"/>
        <v>1232</v>
      </c>
      <c r="AC13" s="1014">
        <f t="shared" si="4"/>
        <v>10</v>
      </c>
      <c r="AD13" s="1014">
        <f t="shared" si="4"/>
        <v>0</v>
      </c>
      <c r="AE13" s="1018">
        <f t="shared" si="4"/>
        <v>0</v>
      </c>
      <c r="AF13" s="1011">
        <f t="shared" si="4"/>
        <v>0</v>
      </c>
      <c r="AG13" s="1019">
        <f t="shared" si="4"/>
        <v>0</v>
      </c>
      <c r="AH13" s="1016">
        <f t="shared" si="4"/>
        <v>0</v>
      </c>
      <c r="AI13" s="1011">
        <f t="shared" si="4"/>
        <v>81</v>
      </c>
      <c r="AJ13" s="1013">
        <f t="shared" si="4"/>
        <v>0</v>
      </c>
      <c r="AK13" s="1016">
        <f>SUBTOTAL(9,AK9:AK12)</f>
        <v>0</v>
      </c>
      <c r="AL13" s="1020">
        <f>IF(ISNUMBER(NºAsuntos!G13/NºAsuntos!E13),NºAsuntos!G13/NºAsuntos!E13," - ")</f>
        <v>0.88317757009345799</v>
      </c>
      <c r="AM13" s="1020">
        <f>IF(ISNUMBER(((NºAsuntos!I13/NºAsuntos!G13)*11)/factor_trimestre),((NºAsuntos!I13/NºAsuntos!G13)*11)/factor_trimestre," - ")</f>
        <v>3.9841269841269837</v>
      </c>
      <c r="AN13" s="1021">
        <f>IF(ISNUMBER('Resol  Asuntos'!D13/NºAsuntos!G13),'Resol  Asuntos'!D13/NºAsuntos!G13," - ")</f>
        <v>0.21428571428571427</v>
      </c>
      <c r="AO13" s="1022">
        <f>IF(ISNUMBER((NºAsuntos!C13+NºAsuntos!E13)/NºAsuntos!G13),(NºAsuntos!C13+NºAsuntos!E13)/NºAsuntos!G13," - ")</f>
        <v>2.9735449735449735</v>
      </c>
      <c r="AP13" s="1023" t="str">
        <f t="shared" si="2"/>
        <v xml:space="preserve"> - </v>
      </c>
      <c r="AQ13" s="1023">
        <f>IF(ISNUMBER((H13-W13+K13)/(F13)),(H13-W13+K13)/(F13)," - ")</f>
        <v>-0.5</v>
      </c>
      <c r="AR13" s="1024">
        <f>IF(ISNUMBER((Datos!P13-Datos!Q13)/(Datos!R13-Datos!P13+Datos!Q13)),(Datos!P13-Datos!Q13)/(Datos!R13-Datos!P13+Datos!Q13)," - ")</f>
        <v>2.3255813953488372E-2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441</v>
      </c>
      <c r="G16" s="342">
        <f>IF(ISNUMBER(IF(D_I="SI",Datos!I16,Datos!I16+Datos!AC16)),IF(D_I="SI",Datos!I16,Datos!I16+Datos!AC16)," - ")</f>
        <v>411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442</v>
      </c>
      <c r="X16" s="230">
        <f>IF(ISNUMBER(Datos!Q16),Datos!Q16," - ")</f>
        <v>6</v>
      </c>
      <c r="Y16" s="343">
        <f t="shared" ref="Y16:Y17" si="7">SUM(W16:X16)</f>
        <v>448</v>
      </c>
      <c r="Z16" s="344" t="str">
        <f>IF(ISNUMBER(Datos!CC16),Datos!CC16," - ")</f>
        <v xml:space="preserve"> - </v>
      </c>
      <c r="AA16" s="341">
        <f>IF(ISNUMBER(IF(D_I="SI",Datos!L16,Datos!L16+Datos!AF16)),IF(D_I="SI",Datos!L16,Datos!L16+Datos!AF16)," - ")</f>
        <v>526</v>
      </c>
      <c r="AB16" s="343">
        <f>IF(ISNUMBER(Datos!R16),Datos!R16," - ")</f>
        <v>42</v>
      </c>
      <c r="AC16" s="343">
        <f t="shared" si="6"/>
        <v>568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43</v>
      </c>
      <c r="AJ16" s="235" t="str">
        <f>IF(ISNUMBER(Datos!BW16),Datos!BW16," - ")</f>
        <v xml:space="preserve"> - </v>
      </c>
      <c r="AK16" s="236" t="str">
        <f>IF(ISNUMBER(Datos!BX16),Datos!BX16," - ")</f>
        <v xml:space="preserve"> - </v>
      </c>
      <c r="AL16" s="247">
        <f>IF(ISNUMBER(NºAsuntos!G16/NºAsuntos!E16),NºAsuntos!G16/NºAsuntos!E16," - ")</f>
        <v>0.83870967741935487</v>
      </c>
      <c r="AM16" s="264">
        <f>IF(ISNUMBER(((NºAsuntos!I16/NºAsuntos!G16)*11)/factor_trimestre),((NºAsuntos!I16/NºAsuntos!G16)*11)/factor_trimestre," - ")</f>
        <v>2.3800904977375565</v>
      </c>
      <c r="AN16" s="248">
        <f>IF(ISNUMBER('Resol  Asuntos'!D16/NºAsuntos!G16),'Resol  Asuntos'!D16/NºAsuntos!G16," - ")</f>
        <v>9.7285067873303169E-2</v>
      </c>
      <c r="AO16" s="249">
        <f>IF(ISNUMBER((NºAsuntos!C16+NºAsuntos!E16)/NºAsuntos!G16),(NºAsuntos!C16+NºAsuntos!E16)/NºAsuntos!G16," - ")</f>
        <v>2.1221719457013575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55</v>
      </c>
      <c r="X17" s="230">
        <f>IF(ISNUMBER(Datos!Q17),Datos!Q17," - ")</f>
        <v>0</v>
      </c>
      <c r="Y17" s="343">
        <f t="shared" si="7"/>
        <v>55</v>
      </c>
      <c r="Z17" s="344" t="str">
        <f>IF(ISNUMBER(Datos!CC17),Datos!CC17," - ")</f>
        <v xml:space="preserve"> - </v>
      </c>
      <c r="AA17" s="341">
        <f>IF(ISNUMBER(Datos!L17),Datos!L17,"-")</f>
        <v>50</v>
      </c>
      <c r="AB17" s="343">
        <f>IF(ISNUMBER(Datos!R17),Datos!R17," - ")</f>
        <v>2</v>
      </c>
      <c r="AC17" s="343">
        <f t="shared" si="6"/>
        <v>52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0.859375</v>
      </c>
      <c r="AM17" s="264">
        <f>IF(ISNUMBER(((NºAsuntos!I17/NºAsuntos!G17)*11)/factor_trimestre),((NºAsuntos!I17/NºAsuntos!G17)*11)/factor_trimestre," - ")</f>
        <v>1.8181818181818181</v>
      </c>
      <c r="AN17" s="248">
        <f>IF(ISNUMBER('Resol  Asuntos'!D17/NºAsuntos!G17),'Resol  Asuntos'!D17/NºAsuntos!G17," - ")</f>
        <v>0.34545454545454546</v>
      </c>
      <c r="AO17" s="249">
        <f>IF(ISNUMBER((NºAsuntos!C17+NºAsuntos!E17)/NºAsuntos!G17),(NºAsuntos!C17+NºAsuntos!E17)/NºAsuntos!G17," - ")</f>
        <v>1.9090909090909092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441</v>
      </c>
      <c r="G18" s="1012">
        <f>SUBTOTAL(9,G15:G17)</f>
        <v>452</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497</v>
      </c>
      <c r="X18" s="1013">
        <f t="shared" si="11"/>
        <v>6</v>
      </c>
      <c r="Y18" s="1014">
        <f t="shared" si="11"/>
        <v>503</v>
      </c>
      <c r="Z18" s="1014">
        <f t="shared" si="11"/>
        <v>0</v>
      </c>
      <c r="AA18" s="1014">
        <f t="shared" si="11"/>
        <v>576</v>
      </c>
      <c r="AB18" s="1014">
        <f t="shared" si="11"/>
        <v>44</v>
      </c>
      <c r="AC18" s="1014">
        <f t="shared" si="11"/>
        <v>620</v>
      </c>
      <c r="AD18" s="1014">
        <f t="shared" si="11"/>
        <v>0</v>
      </c>
      <c r="AE18" s="1018">
        <f t="shared" si="11"/>
        <v>0</v>
      </c>
      <c r="AF18" s="1011">
        <f t="shared" si="11"/>
        <v>0</v>
      </c>
      <c r="AG18" s="1019">
        <f t="shared" si="11"/>
        <v>0</v>
      </c>
      <c r="AH18" s="1016">
        <f t="shared" si="11"/>
        <v>0</v>
      </c>
      <c r="AI18" s="1011">
        <f t="shared" si="11"/>
        <v>62</v>
      </c>
      <c r="AJ18" s="1013">
        <f t="shared" si="11"/>
        <v>0</v>
      </c>
      <c r="AK18" s="1016">
        <f t="shared" si="11"/>
        <v>0</v>
      </c>
      <c r="AL18" s="1020">
        <f>IF(ISNUMBER(NºAsuntos!G18/NºAsuntos!E18),NºAsuntos!G18/NºAsuntos!E18," - ")</f>
        <v>0.84094754653130288</v>
      </c>
      <c r="AM18" s="1020">
        <f>IF(ISNUMBER(((NºAsuntos!I18/NºAsuntos!G18)*11)/factor_trimestre),((NºAsuntos!I18/NºAsuntos!G18)*11)/factor_trimestre," - ")</f>
        <v>2.3179074446680081</v>
      </c>
      <c r="AN18" s="1021">
        <f>IF(ISNUMBER('Resol  Asuntos'!D18/NºAsuntos!G18),'Resol  Asuntos'!D18/NºAsuntos!G18," - ")</f>
        <v>0.12474849094567404</v>
      </c>
      <c r="AO18" s="1022">
        <f>IF(ISNUMBER((NºAsuntos!C18+NºAsuntos!E18)/NºAsuntos!G18),(NºAsuntos!C18+NºAsuntos!E18)/NºAsuntos!G18," - ")</f>
        <v>2.0985915492957745</v>
      </c>
      <c r="AP18" s="1023" t="str">
        <f t="shared" si="2"/>
        <v xml:space="preserve"> - </v>
      </c>
      <c r="AQ18" s="1023">
        <f>IF(ISNUMBER((H18-W18+K18)/(F18)),(H18-W18+K18)/(F18)," - ")</f>
        <v>-1.126984126984127</v>
      </c>
      <c r="AR18" s="1024">
        <f>IF(ISNUMBER((Datos!P18-Datos!Q18)/(Datos!R18-Datos!P18+Datos!Q18)),(Datos!P18-Datos!Q18)/(Datos!R18-Datos!P18+Datos!Q18)," - ")</f>
        <v>7.3170731707317069E-2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447</v>
      </c>
      <c r="G19" s="967">
        <f t="shared" si="13"/>
        <v>458</v>
      </c>
      <c r="H19" s="966">
        <f t="shared" si="13"/>
        <v>0</v>
      </c>
      <c r="I19" s="968">
        <f t="shared" si="13"/>
        <v>0</v>
      </c>
      <c r="J19" s="968">
        <f t="shared" si="13"/>
        <v>0</v>
      </c>
      <c r="K19" s="1027">
        <f t="shared" si="13"/>
        <v>0</v>
      </c>
      <c r="L19" s="968">
        <f t="shared" si="13"/>
        <v>132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500</v>
      </c>
      <c r="X19" s="967">
        <f t="shared" si="14"/>
        <v>101</v>
      </c>
      <c r="Y19" s="974">
        <f t="shared" si="14"/>
        <v>601</v>
      </c>
      <c r="Z19" s="974">
        <f t="shared" si="14"/>
        <v>0</v>
      </c>
      <c r="AA19" s="974">
        <f t="shared" si="14"/>
        <v>583</v>
      </c>
      <c r="AB19" s="974">
        <f t="shared" si="14"/>
        <v>1276</v>
      </c>
      <c r="AC19" s="974">
        <f t="shared" si="14"/>
        <v>630</v>
      </c>
      <c r="AD19" s="974">
        <f t="shared" si="14"/>
        <v>0</v>
      </c>
      <c r="AE19" s="976">
        <f t="shared" si="14"/>
        <v>0</v>
      </c>
      <c r="AF19" s="977">
        <f t="shared" si="14"/>
        <v>0</v>
      </c>
      <c r="AG19" s="978">
        <f t="shared" si="14"/>
        <v>0</v>
      </c>
      <c r="AH19" s="976">
        <f t="shared" si="14"/>
        <v>0</v>
      </c>
      <c r="AI19" s="966">
        <f t="shared" si="14"/>
        <v>143</v>
      </c>
      <c r="AJ19" s="966">
        <f t="shared" si="14"/>
        <v>0</v>
      </c>
      <c r="AK19" s="976">
        <f t="shared" si="14"/>
        <v>0</v>
      </c>
      <c r="AL19" s="1030">
        <f>IF(ISNUMBER(NºAsuntos!G19/NºAsuntos!E19),NºAsuntos!G19/NºAsuntos!E19," - ")</f>
        <v>0.85868498527968595</v>
      </c>
      <c r="AM19" s="1031">
        <f>IF(ISNUMBER(((NºAsuntos!I19/NºAsuntos!G19)*11)/factor_trimestre),((NºAsuntos!I19/NºAsuntos!G19)*11)/factor_trimestre," - ")</f>
        <v>3.0377142857142858</v>
      </c>
      <c r="AN19" s="1031">
        <f>IF(ISNUMBER('Resol  Asuntos'!D19/NºAsuntos!G19),'Resol  Asuntos'!D19/NºAsuntos!G19," - ")</f>
        <v>0.16342857142857142</v>
      </c>
      <c r="AO19" s="1032">
        <f>IF(ISNUMBER((NºAsuntos!C19+NºAsuntos!E19)/NºAsuntos!G19),(NºAsuntos!C19+NºAsuntos!E19)/NºAsuntos!G19," - ")</f>
        <v>2.4765714285714284</v>
      </c>
      <c r="AP19" s="1033" t="str">
        <f t="shared" si="2"/>
        <v xml:space="preserve"> - </v>
      </c>
      <c r="AQ19" s="1034">
        <f>IF(OR(ISNUMBER(FIND("01",Criterios!A8,1)),ISNUMBER(FIND("02",Criterios!A8,1)),ISNUMBER(FIND("03",Criterios!A8,1)),ISNUMBER(FIND("04",Criterios!A8,1))),(I19-W19+K19)/(F19-K19),(H19-W19+K19)/(F19-K19))</f>
        <v>-1.1185682326621924</v>
      </c>
      <c r="AR19" s="1035">
        <f>IF(ISNUMBER((Datos!P19-Datos!Q19)/(Datos!R19-Datos!P19+Datos!Q19)),(Datos!P19-Datos!Q19)/(Datos!R19-Datos!P19+Datos!Q19)," - ")</f>
        <v>2.4899598393574297E-2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251.14736709748721</v>
      </c>
      <c r="G21" s="257">
        <f>IF(ISNUMBER(STDEV(G8:G18)),STDEV(G8:G18),"-")</f>
        <v>227.57789875117487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247.69739602991388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31.860110901669298</v>
      </c>
      <c r="AJ21" s="256">
        <f t="shared" si="18"/>
        <v>0</v>
      </c>
      <c r="AK21" s="258">
        <f t="shared" si="18"/>
        <v>0</v>
      </c>
      <c r="AL21" s="253">
        <f t="shared" si="18"/>
        <v>4.9538800670687236E-2</v>
      </c>
      <c r="AM21" s="254">
        <f t="shared" si="18"/>
        <v>1.1603065001640616</v>
      </c>
      <c r="AN21" s="254">
        <f t="shared" si="18"/>
        <v>0.33872736507182699</v>
      </c>
      <c r="AO21" s="255">
        <f t="shared" si="18"/>
        <v>0.59424075233418872</v>
      </c>
      <c r="AP21" s="295" t="str">
        <f t="shared" si="18"/>
        <v>-</v>
      </c>
      <c r="AQ21" s="296">
        <f t="shared" si="18"/>
        <v>0.44334472788680357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cRL3IIXhYaXloZNIuEBEucsWHbkawePclIpSlnnGv3uzT82YfN3URvnkuXXBy+vj2hFiFXW6/QH4c0MFvjXrw==" saltValue="ea/6gVlC1gdUrjtTpIpe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MONZON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-0.2</v>
      </c>
      <c r="F10" s="357">
        <f>IF(ISNUMBER((Datos!K10-Datos!U10)/Datos!U10),(Datos!K10-Datos!U10)/Datos!U10," - ")</f>
        <v>-0.5</v>
      </c>
      <c r="G10" s="358">
        <f>IF(ISNUMBER((Datos!L10-Datos!V10)/Datos!V10),(Datos!L10-Datos!V10)/Datos!V10," - ")</f>
        <v>0</v>
      </c>
      <c r="H10" s="234">
        <f>IF(ISNUMBER((Datos!M10-Datos!W10)/Datos!W10),(Datos!M10-Datos!W10)/Datos!W10," - ")</f>
        <v>0</v>
      </c>
      <c r="I10" s="359">
        <f>IF(ISNUMBER((Tasas!C10-Datos!BE10)/Datos!BE10),(Tasas!C10-Datos!BE10)/Datos!BE10," - ")</f>
        <v>1</v>
      </c>
      <c r="J10" s="358">
        <f>IF(ISNUMBER((Tasas!D10-Datos!BF10)/Datos!BF10),(Tasas!D10-Datos!BF10)/Datos!BF10," - ")</f>
        <v>1</v>
      </c>
      <c r="K10" s="360">
        <f>IF(ISNUMBER((Tasas!E10-Datos!BG10)/Datos!BG10),(Tasas!E10-Datos!BG10)/Datos!BG10," - ")</f>
        <v>0.53846153846153866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v>
      </c>
      <c r="I12" s="359">
        <f>IF(ISNUMBER((Tasas!C12-Datos!BE12)/Datos!BE12),(Tasas!C12-Datos!BE12)/Datos!BE12," - ")</f>
        <v>0.26090506780870815</v>
      </c>
      <c r="J12" s="358">
        <f>IF(ISNUMBER((Tasas!D12-Datos!BF12)/Datos!BF12),(Tasas!D12-Datos!BF12)/Datos!BF12," - ")</f>
        <v>-0.55059854014598553</v>
      </c>
      <c r="K12" s="360">
        <f>IF(ISNUMBER((Tasas!E12-Datos!BG12)/Datos!BG12),(Tasas!E12-Datos!BG12)/Datos!BG12," - ")</f>
        <v>0.15244735692442121</v>
      </c>
      <c r="M12" t="e">
        <f>IF(Monitorios="SI",Datos!CE12,0)</f>
        <v>#REF!</v>
      </c>
      <c r="N12" t="e">
        <f>IF(Monitorios="SI",Datos!CF12,0)</f>
        <v>#REF!</v>
      </c>
      <c r="O12" t="e">
        <f>IF(Monitorios="SI",Datos!CG12,0)</f>
        <v>#REF!</v>
      </c>
      <c r="P12" t="e">
        <f>IF(Monitorios="SI",Datos!CH12,0)</f>
        <v>#REF!</v>
      </c>
      <c r="Q12">
        <f>IF(J_V="SI",0,Datos!AG12)</f>
        <v>7</v>
      </c>
      <c r="R12">
        <f>IF(J_V="SI",0,Datos!AH12)</f>
        <v>25</v>
      </c>
      <c r="S12">
        <f>IF(J_V="SI",0,Datos!AI12)</f>
        <v>22</v>
      </c>
      <c r="T12">
        <f>IF(J_V="SI",0,Datos!AJ12)</f>
        <v>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0.19117647058823528</v>
      </c>
      <c r="I13" s="366">
        <f>IF(ISNUMBER((Tasas!C13-Datos!BE13)/Datos!BE13),(Tasas!C13-Datos!BE13)/Datos!BE13," - ")</f>
        <v>0.26920500971133882</v>
      </c>
      <c r="J13" s="364">
        <f>IF(ISNUMBER((Tasas!D13-Datos!BF13)/Datos!BF13),(Tasas!D13-Datos!BF13)/Datos!BF13," - ")</f>
        <v>-0.53775510204081634</v>
      </c>
      <c r="K13" s="367">
        <f>IF(ISNUMBER((Tasas!E13-Datos!BG13)/Datos!BG13),(Tasas!E13-Datos!BG13)/Datos!BG13," - ")</f>
        <v>0.15723013145693565</v>
      </c>
      <c r="M13" t="e">
        <f>IF(Monitorios="SI",Datos!CE13,0)</f>
        <v>#REF!</v>
      </c>
      <c r="N13" t="e">
        <f>IF(Monitorios="SI",Datos!CF13,0)</f>
        <v>#REF!</v>
      </c>
      <c r="O13" t="e">
        <f>IF(Monitorios="SI",Datos!CG13,0)</f>
        <v>#REF!</v>
      </c>
      <c r="P13" t="e">
        <f>IF(Monitorios="SI",Datos!CH13,0)</f>
        <v>#REF!</v>
      </c>
      <c r="Q13">
        <f>IF(J_V="SI",0,Datos!AG13)</f>
        <v>7</v>
      </c>
      <c r="R13">
        <f>IF(J_V="SI",0,Datos!AH13)</f>
        <v>25</v>
      </c>
      <c r="S13">
        <f>IF(J_V="SI",0,Datos!AI13)</f>
        <v>22</v>
      </c>
      <c r="T13">
        <f>IF(J_V="SI",0,Datos!AJ13)</f>
        <v>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0.48375451263537905</v>
      </c>
      <c r="E16" s="357">
        <f>IF(ISNUMBER(
   IF(D_I="SI",(Datos!J16-Datos!T16)/Datos!T16,(Datos!J16+Datos!AD16-(Datos!T16+Datos!AL16))/(Datos!T16+Datos!AL16))
     ),IF(D_I="SI",(Datos!J16-Datos!T16)/Datos!T16,(Datos!J16+Datos!AD16-(Datos!T16+Datos!AL16))/(Datos!T16+Datos!AL16))," - ")</f>
        <v>0.25178147268408552</v>
      </c>
      <c r="F16" s="357">
        <f>IF(ISNUMBER(
   IF(D_I="SI",(Datos!K16-Datos!U16)/Datos!U16,(Datos!K16+Datos!AE16-(Datos!U16+Datos!AM16))/(Datos!U16+Datos!AM16))
     ),IF(D_I="SI",(Datos!K16-Datos!U16)/Datos!U16,(Datos!K16+Datos!AE16-(Datos!U16+Datos!AM16))/(Datos!U16+Datos!AM16))," - ")</f>
        <v>0.18817204301075269</v>
      </c>
      <c r="G16" s="358">
        <f>IF(ISNUMBER(
   IF(D_I="SI",(Datos!L16-Datos!V16)/Datos!V16,(Datos!L16+Datos!AF16-(Datos!V16+Datos!AN16))/(Datos!V16+Datos!AN16))
     ),IF(D_I="SI",(Datos!L16-Datos!V16)/Datos!V16,(Datos!L16+Datos!AF16-(Datos!V16+Datos!AN16))/(Datos!V16+Datos!AN16))," - ")</f>
        <v>0.61349693251533743</v>
      </c>
      <c r="H16" s="234">
        <f>IF(ISNUMBER((Datos!M16-Datos!W16)/Datos!W16),(Datos!M16-Datos!W16)/Datos!W16," - ")</f>
        <v>0.13157894736842105</v>
      </c>
      <c r="I16" s="359">
        <f>IF(ISNUMBER((Tasas!C16-Datos!BE16)/Datos!BE16),(Tasas!C16-Datos!BE16)/Datos!BE16," - ")</f>
        <v>0.35796574410793103</v>
      </c>
      <c r="J16" s="358">
        <f>IF(ISNUMBER((Tasas!D16-Datos!BF16)/Datos!BF16),(Tasas!D16-Datos!BF16)/Datos!BF16," - ")</f>
        <v>-4.7630388187663776E-2</v>
      </c>
      <c r="K16" s="360">
        <f>IF(ISNUMBER((Tasas!E16-Datos!BG16)/Datos!BG16),(Tasas!E16-Datos!BG16)/Datos!BG16," - ")</f>
        <v>0.13101427478639677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1.9285714285714286</v>
      </c>
      <c r="E17" s="357">
        <f>IF(ISNUMBER(
   IF(D_I="SI",(Datos!J17-Datos!T17)/Datos!T17,(Datos!J17+Datos!AD17-(Datos!T17+Datos!AL17))/(Datos!T17+Datos!AL17))
     ),IF(D_I="SI",(Datos!J17-Datos!T17)/Datos!T17,(Datos!J17+Datos!AD17-(Datos!T17+Datos!AL17))/(Datos!T17+Datos!AL17))," - ")</f>
        <v>0.20754716981132076</v>
      </c>
      <c r="F17" s="357">
        <f>IF(ISNUMBER(
   IF(D_I="SI",(Datos!K17-Datos!U17)/Datos!U17,(Datos!K17+Datos!AE17-(Datos!U17+Datos!AM17))/(Datos!U17+Datos!AM17))
     ),IF(D_I="SI",(Datos!K17-Datos!U17)/Datos!U17,(Datos!K17+Datos!AE17-(Datos!U17+Datos!AM17))/(Datos!U17+Datos!AM17))," - ")</f>
        <v>1.8518518518518517E-2</v>
      </c>
      <c r="G17" s="358">
        <f>IF(ISNUMBER(
   IF(D_I="SI",(Datos!L17-Datos!V17)/Datos!V17,(Datos!L17+Datos!AF17-(Datos!V17+Datos!AN17))/(Datos!V17+Datos!AN17))
     ),IF(D_I="SI",(Datos!L17-Datos!V17)/Datos!V17,(Datos!L17+Datos!AF17-(Datos!V17+Datos!AN17))/(Datos!V17+Datos!AN17))," - ")</f>
        <v>2.8461538461538463</v>
      </c>
      <c r="H17" s="234">
        <f>IF(ISNUMBER((Datos!M17-Datos!W17)/Datos!W17),(Datos!M17-Datos!W17)/Datos!W17," - ")</f>
        <v>0.35714285714285715</v>
      </c>
      <c r="I17" s="359">
        <f>IF(ISNUMBER((Tasas!C17-Datos!BE17)/Datos!BE17),(Tasas!C17-Datos!BE17)/Datos!BE17," - ")</f>
        <v>2.7762237762237763</v>
      </c>
      <c r="J17" s="358">
        <f>IF(ISNUMBER((Tasas!D17-Datos!BF17)/Datos!BF17),(Tasas!D17-Datos!BF17)/Datos!BF17," - ")</f>
        <v>0.33246753246753258</v>
      </c>
      <c r="K17" s="360">
        <f>IF(ISNUMBER((Tasas!E17-Datos!BG17)/Datos!BG17),(Tasas!E17-Datos!BG17)/Datos!BG17," - ")</f>
        <v>0.53867028493894176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0.5532646048109966</v>
      </c>
      <c r="E18" s="363">
        <f>IF(ISNUMBER(
   IF(D_I="SI",(Datos!J18-Datos!T18)/Datos!T18,(Datos!J18+Datos!AD18-(Datos!T18+Datos!AL18))/(Datos!T18+Datos!AL18))
     ),IF(D_I="SI",(Datos!J18-Datos!T18)/Datos!T18,(Datos!J18+Datos!AD18-(Datos!T18+Datos!AL18))/(Datos!T18+Datos!AL18))," - ")</f>
        <v>0.24683544303797469</v>
      </c>
      <c r="F18" s="363">
        <f>IF(ISNUMBER(
   IF(D_I="SI",(Datos!K18-Datos!U18)/Datos!U18,(Datos!K18+Datos!AE18-(Datos!U18+Datos!AM18))/(Datos!U18+Datos!AM18))
     ),IF(D_I="SI",(Datos!K18-Datos!U18)/Datos!U18,(Datos!K18+Datos!AE18-(Datos!U18+Datos!AM18))/(Datos!U18+Datos!AM18))," - ")</f>
        <v>0.16666666666666666</v>
      </c>
      <c r="G18" s="364">
        <f>IF(ISNUMBER(
   IF(D_I="SI",(Datos!L18-Datos!V18)/Datos!V18,(Datos!L18+Datos!AF18-(Datos!V18+Datos!AN18))/(Datos!V18+Datos!AN18))
     ),IF(D_I="SI",(Datos!L18-Datos!V18)/Datos!V18,(Datos!L18+Datos!AF18-(Datos!V18+Datos!AN18))/(Datos!V18+Datos!AN18))," - ")</f>
        <v>0.69911504424778759</v>
      </c>
      <c r="H18" s="365">
        <f>IF(ISNUMBER((Datos!M18-Datos!W18)/Datos!W18),(Datos!M18-Datos!W18)/Datos!W18," - ")</f>
        <v>0.19230769230769232</v>
      </c>
      <c r="I18" s="366">
        <f>IF(ISNUMBER((Tasas!C18-Datos!BE18)/Datos!BE18),(Tasas!C18-Datos!BE18)/Datos!BE18," - ")</f>
        <v>0.45638432364096077</v>
      </c>
      <c r="J18" s="364">
        <f>IF(ISNUMBER((Tasas!D18-Datos!BF18)/Datos!BF18),(Tasas!D18-Datos!BF18)/Datos!BF18," - ")</f>
        <v>2.1978021978021969E-2</v>
      </c>
      <c r="K18" s="367">
        <f>IF(ISNUMBER((Tasas!E18-Datos!BG18)/Datos!BG18),(Tasas!E18-Datos!BG18)/Datos!BG18," - ")</f>
        <v>0.16862745098039206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0.51052631578947372</v>
      </c>
      <c r="E19" s="372">
        <f>IF(ISNUMBER(
   IF(J_V="SI",(Datos!J19-Datos!T19)/Datos!T19,(Datos!J19+Datos!Z19-(Datos!T19+Datos!AH19))/(Datos!T19+Datos!AH19))
     ),IF(J_V="SI",(Datos!J19-Datos!T19)/Datos!T19,(Datos!J19+Datos!Z19-(Datos!T19+Datos!AH19))/(Datos!T19+Datos!AH19))," - ")</f>
        <v>0.30473751600512161</v>
      </c>
      <c r="F19" s="372">
        <f>IF(ISNUMBER(
   IF(J_V="SI",(Datos!K19-Datos!U19)/Datos!U19,(Datos!K19+Datos!AA19-(Datos!U19+Datos!AI19))/(Datos!U19+Datos!AI19))
     ),IF(J_V="SI",(Datos!K19-Datos!U19)/Datos!U19,(Datos!K19+Datos!AA19-(Datos!U19+Datos!AI19))/(Datos!U19+Datos!AI19))," - ")</f>
        <v>0.20192307692307693</v>
      </c>
      <c r="G19" s="373">
        <f>IF(ISNUMBER(
   IF(J_V="SI",(Datos!L19-Datos!V19)/Datos!V19,(Datos!L19+Datos!AB19-(Datos!V19+Datos!AJ19))/(Datos!V19+Datos!AJ19))
     ),IF(J_V="SI",(Datos!L19-Datos!V19)/Datos!V19,(Datos!L19+Datos!AB19-(Datos!V19+Datos!AJ19))/(Datos!V19+Datos!AJ19))," - ")</f>
        <v>0.63468634686346859</v>
      </c>
      <c r="H19" s="374">
        <f>IF(ISNUMBER((Datos!M19-Datos!W19)/Datos!W19),(Datos!M19-Datos!W19)/Datos!W19," - ")</f>
        <v>0.19166666666666668</v>
      </c>
      <c r="I19" s="371">
        <f>IF(ISNUMBER((Tasas!C19-Datos!BE19)/Datos!BE19),(Tasas!C19-Datos!BE19)/Datos!BE19," - ")</f>
        <v>0.36005904059040589</v>
      </c>
      <c r="J19" s="372">
        <f>IF(ISNUMBER((Tasas!D19-Datos!BF19)/Datos!BF19),(Tasas!D19-Datos!BF19)/Datos!BF19," - ")</f>
        <v>-0.38033333333333336</v>
      </c>
      <c r="K19" s="373">
        <f>IF(ISNUMBER((Tasas!E19-Datos!BG19)/Datos!BG19),(Tasas!E19-Datos!BG19)/Datos!BG19," - ")</f>
        <v>0.16998312783906547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0.90891875381841891</v>
      </c>
      <c r="E21" s="282">
        <f t="shared" si="1"/>
        <v>0.21859166898767241</v>
      </c>
      <c r="F21" s="282">
        <f t="shared" si="1"/>
        <v>0.32120597398148593</v>
      </c>
      <c r="G21" s="283">
        <f t="shared" si="1"/>
        <v>1.2439049742390667</v>
      </c>
      <c r="H21" s="289">
        <f t="shared" si="1"/>
        <v>0.11557721096198778</v>
      </c>
      <c r="I21" s="281">
        <f t="shared" si="1"/>
        <v>0.98123935933217776</v>
      </c>
      <c r="J21" s="282">
        <f t="shared" si="1"/>
        <v>0.58269570275961347</v>
      </c>
      <c r="K21" s="283">
        <f t="shared" si="1"/>
        <v>0.19982415047415331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JplvdT6btH81ZQQXUTgqounNWRX2xQUncHz2kyQpZ5NGx9kPKgfv3Tqn0gMwwLr7YYbM20Ga9PjSa/dwOpFqw==" saltValue="RSPQXlim1wxlN/y4QWfy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